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2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PLIKASI SKP TERBARU\SKP DI SLEMAN\"/>
    </mc:Choice>
  </mc:AlternateContent>
  <xr:revisionPtr revIDLastSave="0" documentId="13_ncr:1_{2D9F2AAE-4A04-463D-B58D-58EC9150CBCF}" xr6:coauthVersionLast="45" xr6:coauthVersionMax="45" xr10:uidLastSave="{00000000-0000-0000-0000-000000000000}"/>
  <bookViews>
    <workbookView showSheetTabs="0" xWindow="-120" yWindow="-120" windowWidth="20730" windowHeight="11160" tabRatio="728" firstSheet="1" activeTab="5" xr2:uid="{00000000-000D-0000-FFFF-FFFF00000000}"/>
  </bookViews>
  <sheets>
    <sheet name="AUTHOR" sheetId="42" r:id="rId1"/>
    <sheet name="MENU" sheetId="9" r:id="rId2"/>
    <sheet name="PERIODE" sheetId="26" r:id="rId3"/>
    <sheet name="COVER" sheetId="10" r:id="rId4"/>
    <sheet name="DATA SKP" sheetId="37" r:id="rId5"/>
    <sheet name="FORM SKP" sheetId="39" r:id="rId6"/>
    <sheet name="PENGUKURAN SKP" sheetId="33" r:id="rId7"/>
    <sheet name="PERILAKU" sheetId="7" r:id="rId8"/>
    <sheet name="Penilaian Prestasi" sheetId="66" r:id="rId9"/>
    <sheet name="Konversi Nilai" sheetId="57" r:id="rId10"/>
    <sheet name=" SKP ATASAN OFF" sheetId="55" state="hidden" r:id="rId11"/>
    <sheet name="KEGIATAN GURU" sheetId="38" r:id="rId12"/>
    <sheet name="DATA SKP2" sheetId="40" r:id="rId13"/>
    <sheet name="indikator" sheetId="70" r:id="rId14"/>
    <sheet name="SKP ATASAN" sheetId="60" r:id="rId15"/>
    <sheet name="RENCANA SKP" sheetId="61" r:id="rId16"/>
    <sheet name="KETERKAITAN JF" sheetId="62" r:id="rId17"/>
    <sheet name="KETERKAITAN SKP2 JF" sheetId="31" state="hidden" r:id="rId18"/>
    <sheet name="REVIEW RENCANA SKP" sheetId="63" r:id="rId19"/>
    <sheet name="PENETAPAN SKP" sheetId="67" r:id="rId20"/>
    <sheet name="PENILAIAN SKP" sheetId="64" r:id="rId21"/>
    <sheet name="Penilaian Perilaku" sheetId="65" r:id="rId22"/>
    <sheet name="Penilaian Kinerja" sheetId="68" r:id="rId23"/>
    <sheet name="PRESTASI KERJA2" sheetId="24" state="hidden" r:id="rId24"/>
    <sheet name="5. CAPAIAN SKP" sheetId="48" state="hidden" r:id="rId25"/>
    <sheet name="Laporan DPK" sheetId="58" r:id="rId26"/>
    <sheet name="Integrasi Nilai" sheetId="69" r:id="rId27"/>
    <sheet name="INTEGRASI SKP" sheetId="25" state="hidden" r:id="rId28"/>
    <sheet name="DPK 2021" sheetId="71" r:id="rId29"/>
    <sheet name="KEGIATAN GURU2" sheetId="54" r:id="rId30"/>
    <sheet name="Konversi" sheetId="29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ada">Konversi!$O$1:$S$131</definedName>
    <definedName name="adaide" localSheetId="24">[1]Konversi!$Z$1:$AC$239</definedName>
    <definedName name="adaide">Konversi!$Z$1:$AC$239</definedName>
    <definedName name="AK" localSheetId="29">'KEGIATAN GURU2'!$B$12:$T$90</definedName>
    <definedName name="AK">'KEGIATAN GURU'!$B$12:$T$90</definedName>
    <definedName name="ide">Konversi!$L$110:$N$120</definedName>
    <definedName name="INDIKATOR">indikator!$A$7:$E$62</definedName>
    <definedName name="jabatan" localSheetId="28">'[2]KEGIATAN GURU'!$AC$10:$AC$17</definedName>
    <definedName name="jabatan">'[3]KEGIATAN GURU'!$AC$10:$AC$17</definedName>
    <definedName name="konversi" localSheetId="24">[1]Konversi!$A$1:$D$99</definedName>
    <definedName name="konversi">Konversi!$A$1:$D$99</definedName>
    <definedName name="PANGKAT">'[4]DATA SKP'!$AA$5:$AB$14</definedName>
    <definedName name="PGKT">#REF!</definedName>
    <definedName name="predik">Konversi!$L$1:$M$120</definedName>
    <definedName name="_xlnm.Print_Area" localSheetId="24">'5. CAPAIAN SKP'!$A$1:$M$68</definedName>
    <definedName name="_xlnm.Print_Area" localSheetId="3">COVER!$A$1:$E$24</definedName>
    <definedName name="_xlnm.Print_Area" localSheetId="4">'DATA SKP'!$B$1:$H$21</definedName>
    <definedName name="_xlnm.Print_Area" localSheetId="12">'DATA SKP2'!$B$1:$G$22</definedName>
    <definedName name="_xlnm.Print_Area" localSheetId="5">'FORM SKP'!$D$1:$P$33</definedName>
    <definedName name="_xlnm.Print_Area" localSheetId="27">'INTEGRASI SKP'!$A$1:$J$29</definedName>
    <definedName name="_xlnm.Print_Area" localSheetId="11">'KEGIATAN GURU'!$B$7:$T$90</definedName>
    <definedName name="_xlnm.Print_Area" localSheetId="29">'KEGIATAN GURU2'!$B$7:$T$90</definedName>
    <definedName name="_xlnm.Print_Area" localSheetId="16">'KETERKAITAN JF'!$D$1:$N$36</definedName>
    <definedName name="_xlnm.Print_Area" localSheetId="17">'KETERKAITAN SKP2 JF'!$E$1:$K$41</definedName>
    <definedName name="_xlnm.Print_Area" localSheetId="1">MENU!$B$2:$M$35</definedName>
    <definedName name="_xlnm.Print_Area" localSheetId="20">'PENILAIAN SKP'!$A$1:$X$56</definedName>
    <definedName name="_xlnm.Print_Area" localSheetId="7">PERILAKU!$A$1:$H$25</definedName>
    <definedName name="_xlnm.Print_Area" localSheetId="2">PERIODE!$A$1:$E$13</definedName>
    <definedName name="_xlnm.Print_Area" localSheetId="23">'PRESTASI KERJA2'!$A$1:$J$27</definedName>
    <definedName name="_xlnm.Print_Area" localSheetId="15">'RENCANA SKP'!$E$1:$T$52</definedName>
    <definedName name="_xlnm.Print_Titles" localSheetId="24">'5. CAPAIAN SKP'!$12:$14</definedName>
    <definedName name="_xlnm.Print_Titles" localSheetId="26">'Integrasi Nilai'!$15:$15</definedName>
    <definedName name="_xlnm.Print_Titles" localSheetId="27">'INTEGRASI SKP'!$15:$15</definedName>
    <definedName name="_xlnm.Print_Titles" localSheetId="11">'KEGIATAN GURU'!$11:$11</definedName>
    <definedName name="_xlnm.Print_Titles" localSheetId="29">'KEGIATAN GURU2'!$11:$11</definedName>
    <definedName name="_xlnm.Print_Titles" localSheetId="9">'Konversi Nilai'!$13:$13</definedName>
    <definedName name="_xlnm.Print_Titles" localSheetId="19">'PENETAPAN SKP'!$13:$13</definedName>
    <definedName name="_xlnm.Print_Titles" localSheetId="22">'Penilaian Kinerja'!$14:$14</definedName>
    <definedName name="_xlnm.Print_Titles" localSheetId="21">'Penilaian Perilaku'!$13:$14</definedName>
    <definedName name="_xlnm.Print_Titles" localSheetId="8">'Penilaian Prestasi'!$14:$14</definedName>
    <definedName name="_xlnm.Print_Titles" localSheetId="20">'PENILAIAN SKP'!$13:$15</definedName>
    <definedName name="_xlnm.Print_Titles" localSheetId="23">'PRESTASI KERJA2'!$12:$12</definedName>
    <definedName name="_xlnm.Print_Titles" localSheetId="15">'RENCANA SKP'!$13:$13</definedName>
    <definedName name="_xlnm.Print_Titles" localSheetId="18">'REVIEW RENCANA SKP'!$13:$14</definedName>
    <definedName name="SK.01" localSheetId="28">#REF!</definedName>
    <definedName name="SK.01" localSheetId="13">#REF!</definedName>
    <definedName name="SK.01" localSheetId="26">#REF!</definedName>
    <definedName name="SK.01" localSheetId="16">#REF!</definedName>
    <definedName name="SK.01" localSheetId="9">#REF!</definedName>
    <definedName name="SK.01" localSheetId="25">#REF!</definedName>
    <definedName name="SK.01" localSheetId="19">#REF!</definedName>
    <definedName name="SK.01" localSheetId="22">#REF!</definedName>
    <definedName name="SK.01" localSheetId="21">#REF!</definedName>
    <definedName name="SK.01" localSheetId="8">#REF!</definedName>
    <definedName name="SK.01" localSheetId="20">#REF!</definedName>
    <definedName name="SK.01" localSheetId="15">#REF!</definedName>
    <definedName name="SK.01" localSheetId="18">#REF!</definedName>
    <definedName name="SK.01" localSheetId="14">#REF!</definedName>
    <definedName name="SK.01">#REF!</definedName>
    <definedName name="SK.02" localSheetId="28">#REF!</definedName>
    <definedName name="SK.02" localSheetId="13">#REF!</definedName>
    <definedName name="SK.02" localSheetId="26">#REF!</definedName>
    <definedName name="SK.02" localSheetId="16">#REF!</definedName>
    <definedName name="SK.02" localSheetId="9">#REF!</definedName>
    <definedName name="SK.02" localSheetId="25">#REF!</definedName>
    <definedName name="SK.02" localSheetId="19">#REF!</definedName>
    <definedName name="SK.02" localSheetId="22">#REF!</definedName>
    <definedName name="SK.02" localSheetId="21">#REF!</definedName>
    <definedName name="SK.02" localSheetId="8">#REF!</definedName>
    <definedName name="SK.02" localSheetId="20">#REF!</definedName>
    <definedName name="SK.02" localSheetId="15">#REF!</definedName>
    <definedName name="SK.02" localSheetId="18">#REF!</definedName>
    <definedName name="SK.02" localSheetId="14">#REF!</definedName>
    <definedName name="SK.02">#REF!</definedName>
    <definedName name="SK.03" localSheetId="28">#REF!</definedName>
    <definedName name="SK.03" localSheetId="13">#REF!</definedName>
    <definedName name="SK.03" localSheetId="26">#REF!</definedName>
    <definedName name="SK.03" localSheetId="16">#REF!</definedName>
    <definedName name="SK.03" localSheetId="9">#REF!</definedName>
    <definedName name="SK.03" localSheetId="25">#REF!</definedName>
    <definedName name="SK.03" localSheetId="19">#REF!</definedName>
    <definedName name="SK.03" localSheetId="22">#REF!</definedName>
    <definedName name="SK.03" localSheetId="21">#REF!</definedName>
    <definedName name="SK.03" localSheetId="8">#REF!</definedName>
    <definedName name="SK.03" localSheetId="20">#REF!</definedName>
    <definedName name="SK.03" localSheetId="15">#REF!</definedName>
    <definedName name="SK.03" localSheetId="18">#REF!</definedName>
    <definedName name="SK.03" localSheetId="14">#REF!</definedName>
    <definedName name="SK.03">#REF!</definedName>
    <definedName name="SK.04" localSheetId="28">#REF!</definedName>
    <definedName name="SK.04" localSheetId="13">#REF!</definedName>
    <definedName name="SK.04" localSheetId="26">#REF!</definedName>
    <definedName name="SK.04" localSheetId="16">#REF!</definedName>
    <definedName name="SK.04" localSheetId="9">#REF!</definedName>
    <definedName name="SK.04" localSheetId="25">#REF!</definedName>
    <definedName name="SK.04" localSheetId="19">#REF!</definedName>
    <definedName name="SK.04" localSheetId="22">#REF!</definedName>
    <definedName name="SK.04" localSheetId="21">#REF!</definedName>
    <definedName name="SK.04" localSheetId="8">#REF!</definedName>
    <definedName name="SK.04" localSheetId="20">#REF!</definedName>
    <definedName name="SK.04" localSheetId="15">#REF!</definedName>
    <definedName name="SK.04" localSheetId="18">#REF!</definedName>
    <definedName name="SK.04" localSheetId="14">#REF!</definedName>
    <definedName name="SK.04">#REF!</definedName>
    <definedName name="SK.05" localSheetId="28">#REF!</definedName>
    <definedName name="SK.05" localSheetId="13">#REF!</definedName>
    <definedName name="SK.05" localSheetId="26">#REF!</definedName>
    <definedName name="SK.05" localSheetId="16">#REF!</definedName>
    <definedName name="SK.05" localSheetId="9">#REF!</definedName>
    <definedName name="SK.05" localSheetId="25">#REF!</definedName>
    <definedName name="SK.05" localSheetId="19">#REF!</definedName>
    <definedName name="SK.05" localSheetId="22">#REF!</definedName>
    <definedName name="SK.05" localSheetId="21">#REF!</definedName>
    <definedName name="SK.05" localSheetId="8">#REF!</definedName>
    <definedName name="SK.05" localSheetId="20">#REF!</definedName>
    <definedName name="SK.05" localSheetId="15">#REF!</definedName>
    <definedName name="SK.05" localSheetId="18">#REF!</definedName>
    <definedName name="SK.05" localSheetId="14">#REF!</definedName>
    <definedName name="SK.05">#REF!</definedName>
    <definedName name="SK.06" localSheetId="28">#REF!</definedName>
    <definedName name="SK.06" localSheetId="13">#REF!</definedName>
    <definedName name="SK.06" localSheetId="26">#REF!</definedName>
    <definedName name="SK.06" localSheetId="16">#REF!</definedName>
    <definedName name="SK.06" localSheetId="9">#REF!</definedName>
    <definedName name="SK.06" localSheetId="25">#REF!</definedName>
    <definedName name="SK.06" localSheetId="19">#REF!</definedName>
    <definedName name="SK.06" localSheetId="22">#REF!</definedName>
    <definedName name="SK.06" localSheetId="21">#REF!</definedName>
    <definedName name="SK.06" localSheetId="8">#REF!</definedName>
    <definedName name="SK.06" localSheetId="20">#REF!</definedName>
    <definedName name="SK.06" localSheetId="15">#REF!</definedName>
    <definedName name="SK.06" localSheetId="18">#REF!</definedName>
    <definedName name="SK.06" localSheetId="14">#REF!</definedName>
    <definedName name="SK.06">#REF!</definedName>
    <definedName name="SK.07" localSheetId="28">#REF!</definedName>
    <definedName name="SK.07" localSheetId="13">#REF!</definedName>
    <definedName name="SK.07" localSheetId="26">#REF!</definedName>
    <definedName name="SK.07" localSheetId="16">#REF!</definedName>
    <definedName name="SK.07" localSheetId="9">#REF!</definedName>
    <definedName name="SK.07" localSheetId="25">#REF!</definedName>
    <definedName name="SK.07" localSheetId="19">#REF!</definedName>
    <definedName name="SK.07" localSheetId="22">#REF!</definedName>
    <definedName name="SK.07" localSheetId="21">#REF!</definedName>
    <definedName name="SK.07" localSheetId="8">#REF!</definedName>
    <definedName name="SK.07" localSheetId="20">#REF!</definedName>
    <definedName name="SK.07" localSheetId="15">#REF!</definedName>
    <definedName name="SK.07" localSheetId="18">#REF!</definedName>
    <definedName name="SK.07" localSheetId="14">#REF!</definedName>
    <definedName name="SK.07">#REF!</definedName>
    <definedName name="SK.08" localSheetId="28">#REF!</definedName>
    <definedName name="SK.08" localSheetId="13">#REF!</definedName>
    <definedName name="SK.08" localSheetId="26">#REF!</definedName>
    <definedName name="SK.08" localSheetId="16">#REF!</definedName>
    <definedName name="SK.08" localSheetId="9">#REF!</definedName>
    <definedName name="SK.08" localSheetId="25">#REF!</definedName>
    <definedName name="SK.08" localSheetId="19">#REF!</definedName>
    <definedName name="SK.08" localSheetId="22">#REF!</definedName>
    <definedName name="SK.08" localSheetId="21">#REF!</definedName>
    <definedName name="SK.08" localSheetId="8">#REF!</definedName>
    <definedName name="SK.08" localSheetId="20">#REF!</definedName>
    <definedName name="SK.08" localSheetId="15">#REF!</definedName>
    <definedName name="SK.08" localSheetId="18">#REF!</definedName>
    <definedName name="SK.08" localSheetId="14">#REF!</definedName>
    <definedName name="SK.08">#REF!</definedName>
    <definedName name="SK.09" localSheetId="28">#REF!</definedName>
    <definedName name="SK.09" localSheetId="13">#REF!</definedName>
    <definedName name="SK.09" localSheetId="26">#REF!</definedName>
    <definedName name="SK.09" localSheetId="16">#REF!</definedName>
    <definedName name="SK.09" localSheetId="9">#REF!</definedName>
    <definedName name="SK.09" localSheetId="25">#REF!</definedName>
    <definedName name="SK.09" localSheetId="19">#REF!</definedName>
    <definedName name="SK.09" localSheetId="22">#REF!</definedName>
    <definedName name="SK.09" localSheetId="21">#REF!</definedName>
    <definedName name="SK.09" localSheetId="8">#REF!</definedName>
    <definedName name="SK.09" localSheetId="20">#REF!</definedName>
    <definedName name="SK.09" localSheetId="15">#REF!</definedName>
    <definedName name="SK.09" localSheetId="18">#REF!</definedName>
    <definedName name="SK.09" localSheetId="14">#REF!</definedName>
    <definedName name="SK.09">#REF!</definedName>
    <definedName name="SK.10" localSheetId="28">#REF!</definedName>
    <definedName name="SK.10" localSheetId="13">#REF!</definedName>
    <definedName name="SK.10" localSheetId="26">#REF!</definedName>
    <definedName name="SK.10" localSheetId="16">#REF!</definedName>
    <definedName name="SK.10" localSheetId="9">#REF!</definedName>
    <definedName name="SK.10" localSheetId="25">#REF!</definedName>
    <definedName name="SK.10" localSheetId="19">#REF!</definedName>
    <definedName name="SK.10" localSheetId="22">#REF!</definedName>
    <definedName name="SK.10" localSheetId="21">#REF!</definedName>
    <definedName name="SK.10" localSheetId="8">#REF!</definedName>
    <definedName name="SK.10" localSheetId="20">#REF!</definedName>
    <definedName name="SK.10" localSheetId="15">#REF!</definedName>
    <definedName name="SK.10" localSheetId="18">#REF!</definedName>
    <definedName name="SK.10" localSheetId="14">#REF!</definedName>
    <definedName name="SK.10">#REF!</definedName>
    <definedName name="SK.11" localSheetId="28">#REF!</definedName>
    <definedName name="SK.11" localSheetId="13">#REF!</definedName>
    <definedName name="SK.11" localSheetId="26">#REF!</definedName>
    <definedName name="SK.11" localSheetId="16">#REF!</definedName>
    <definedName name="SK.11" localSheetId="9">#REF!</definedName>
    <definedName name="SK.11" localSheetId="25">#REF!</definedName>
    <definedName name="SK.11" localSheetId="19">#REF!</definedName>
    <definedName name="SK.11" localSheetId="22">#REF!</definedName>
    <definedName name="SK.11" localSheetId="21">#REF!</definedName>
    <definedName name="SK.11" localSheetId="8">#REF!</definedName>
    <definedName name="SK.11" localSheetId="20">#REF!</definedName>
    <definedName name="SK.11" localSheetId="15">#REF!</definedName>
    <definedName name="SK.11" localSheetId="18">#REF!</definedName>
    <definedName name="SK.11" localSheetId="14">#REF!</definedName>
    <definedName name="SK.11">#REF!</definedName>
    <definedName name="SK.12" localSheetId="28">#REF!</definedName>
    <definedName name="SK.12" localSheetId="13">#REF!</definedName>
    <definedName name="SK.12" localSheetId="26">#REF!</definedName>
    <definedName name="SK.12" localSheetId="16">#REF!</definedName>
    <definedName name="SK.12" localSheetId="9">#REF!</definedName>
    <definedName name="SK.12" localSheetId="25">#REF!</definedName>
    <definedName name="SK.12" localSheetId="19">#REF!</definedName>
    <definedName name="SK.12" localSheetId="22">#REF!</definedName>
    <definedName name="SK.12" localSheetId="21">#REF!</definedName>
    <definedName name="SK.12" localSheetId="8">#REF!</definedName>
    <definedName name="SK.12" localSheetId="20">#REF!</definedName>
    <definedName name="SK.12" localSheetId="15">#REF!</definedName>
    <definedName name="SK.12" localSheetId="18">#REF!</definedName>
    <definedName name="SK.12" localSheetId="14">#REF!</definedName>
    <definedName name="SK.12">#REF!</definedName>
    <definedName name="SK.13" localSheetId="28">#REF!</definedName>
    <definedName name="SK.13" localSheetId="13">#REF!</definedName>
    <definedName name="SK.13" localSheetId="26">#REF!</definedName>
    <definedName name="SK.13" localSheetId="16">#REF!</definedName>
    <definedName name="SK.13" localSheetId="9">#REF!</definedName>
    <definedName name="SK.13" localSheetId="25">#REF!</definedName>
    <definedName name="SK.13" localSheetId="19">#REF!</definedName>
    <definedName name="SK.13" localSheetId="22">#REF!</definedName>
    <definedName name="SK.13" localSheetId="21">#REF!</definedName>
    <definedName name="SK.13" localSheetId="8">#REF!</definedName>
    <definedName name="SK.13" localSheetId="20">#REF!</definedName>
    <definedName name="SK.13" localSheetId="15">#REF!</definedName>
    <definedName name="SK.13" localSheetId="18">#REF!</definedName>
    <definedName name="SK.13" localSheetId="14">#REF!</definedName>
    <definedName name="SK.13">#REF!</definedName>
    <definedName name="SK.15" localSheetId="28">#REF!</definedName>
    <definedName name="SK.15" localSheetId="13">#REF!</definedName>
    <definedName name="SK.15" localSheetId="26">#REF!</definedName>
    <definedName name="SK.15" localSheetId="16">#REF!</definedName>
    <definedName name="SK.15" localSheetId="9">#REF!</definedName>
    <definedName name="SK.15" localSheetId="25">#REF!</definedName>
    <definedName name="SK.15" localSheetId="19">#REF!</definedName>
    <definedName name="SK.15" localSheetId="22">#REF!</definedName>
    <definedName name="SK.15" localSheetId="21">#REF!</definedName>
    <definedName name="SK.15" localSheetId="8">#REF!</definedName>
    <definedName name="SK.15" localSheetId="20">#REF!</definedName>
    <definedName name="SK.15" localSheetId="15">#REF!</definedName>
    <definedName name="SK.15" localSheetId="18">#REF!</definedName>
    <definedName name="SK.15" localSheetId="14">#REF!</definedName>
    <definedName name="SK.15">#REF!</definedName>
    <definedName name="SK.16" localSheetId="28">#REF!</definedName>
    <definedName name="SK.16" localSheetId="13">#REF!</definedName>
    <definedName name="SK.16" localSheetId="26">#REF!</definedName>
    <definedName name="SK.16" localSheetId="16">#REF!</definedName>
    <definedName name="SK.16" localSheetId="9">#REF!</definedName>
    <definedName name="SK.16" localSheetId="25">#REF!</definedName>
    <definedName name="SK.16" localSheetId="19">#REF!</definedName>
    <definedName name="SK.16" localSheetId="22">#REF!</definedName>
    <definedName name="SK.16" localSheetId="21">#REF!</definedName>
    <definedName name="SK.16" localSheetId="8">#REF!</definedName>
    <definedName name="SK.16" localSheetId="20">#REF!</definedName>
    <definedName name="SK.16" localSheetId="15">#REF!</definedName>
    <definedName name="SK.16" localSheetId="18">#REF!</definedName>
    <definedName name="SK.16" localSheetId="14">#REF!</definedName>
    <definedName name="SK.16">#REF!</definedName>
    <definedName name="SK.17" localSheetId="28">#REF!</definedName>
    <definedName name="SK.17" localSheetId="13">#REF!</definedName>
    <definedName name="SK.17" localSheetId="26">#REF!</definedName>
    <definedName name="SK.17" localSheetId="16">#REF!</definedName>
    <definedName name="SK.17" localSheetId="9">#REF!</definedName>
    <definedName name="SK.17" localSheetId="25">#REF!</definedName>
    <definedName name="SK.17" localSheetId="19">#REF!</definedName>
    <definedName name="SK.17" localSheetId="22">#REF!</definedName>
    <definedName name="SK.17" localSheetId="21">#REF!</definedName>
    <definedName name="SK.17" localSheetId="8">#REF!</definedName>
    <definedName name="SK.17" localSheetId="20">#REF!</definedName>
    <definedName name="SK.17" localSheetId="15">#REF!</definedName>
    <definedName name="SK.17" localSheetId="18">#REF!</definedName>
    <definedName name="SK.17" localSheetId="14">#REF!</definedName>
    <definedName name="SK.17">#REF!</definedName>
    <definedName name="SK.18" localSheetId="28">#REF!</definedName>
    <definedName name="SK.18" localSheetId="13">#REF!</definedName>
    <definedName name="SK.18" localSheetId="26">#REF!</definedName>
    <definedName name="SK.18" localSheetId="16">#REF!</definedName>
    <definedName name="SK.18" localSheetId="9">#REF!</definedName>
    <definedName name="SK.18" localSheetId="25">#REF!</definedName>
    <definedName name="SK.18" localSheetId="19">#REF!</definedName>
    <definedName name="SK.18" localSheetId="22">#REF!</definedName>
    <definedName name="SK.18" localSheetId="21">#REF!</definedName>
    <definedName name="SK.18" localSheetId="8">#REF!</definedName>
    <definedName name="SK.18" localSheetId="20">#REF!</definedName>
    <definedName name="SK.18" localSheetId="15">#REF!</definedName>
    <definedName name="SK.18" localSheetId="18">#REF!</definedName>
    <definedName name="SK.18" localSheetId="14">#REF!</definedName>
    <definedName name="SK.18">#REF!</definedName>
    <definedName name="SK.19" localSheetId="28">#REF!</definedName>
    <definedName name="SK.19" localSheetId="13">#REF!</definedName>
    <definedName name="SK.19" localSheetId="26">#REF!</definedName>
    <definedName name="SK.19" localSheetId="16">#REF!</definedName>
    <definedName name="SK.19" localSheetId="9">#REF!</definedName>
    <definedName name="SK.19" localSheetId="25">#REF!</definedName>
    <definedName name="SK.19" localSheetId="19">#REF!</definedName>
    <definedName name="SK.19" localSheetId="22">#REF!</definedName>
    <definedName name="SK.19" localSheetId="21">#REF!</definedName>
    <definedName name="SK.19" localSheetId="8">#REF!</definedName>
    <definedName name="SK.19" localSheetId="20">#REF!</definedName>
    <definedName name="SK.19" localSheetId="15">#REF!</definedName>
    <definedName name="SK.19" localSheetId="18">#REF!</definedName>
    <definedName name="SK.19" localSheetId="14">#REF!</definedName>
    <definedName name="SK.19">#REF!</definedName>
    <definedName name="SK.21" localSheetId="28">#REF!</definedName>
    <definedName name="SK.21" localSheetId="13">#REF!</definedName>
    <definedName name="SK.21" localSheetId="26">#REF!</definedName>
    <definedName name="SK.21" localSheetId="16">#REF!</definedName>
    <definedName name="SK.21" localSheetId="9">#REF!</definedName>
    <definedName name="SK.21" localSheetId="25">#REF!</definedName>
    <definedName name="SK.21" localSheetId="19">#REF!</definedName>
    <definedName name="SK.21" localSheetId="22">#REF!</definedName>
    <definedName name="SK.21" localSheetId="21">#REF!</definedName>
    <definedName name="SK.21" localSheetId="8">#REF!</definedName>
    <definedName name="SK.21" localSheetId="20">#REF!</definedName>
    <definedName name="SK.21" localSheetId="15">#REF!</definedName>
    <definedName name="SK.21" localSheetId="18">#REF!</definedName>
    <definedName name="SK.21" localSheetId="14">#REF!</definedName>
    <definedName name="SK.21">#REF!</definedName>
    <definedName name="SK.22" localSheetId="28">#REF!</definedName>
    <definedName name="SK.22" localSheetId="13">#REF!</definedName>
    <definedName name="SK.22" localSheetId="26">#REF!</definedName>
    <definedName name="SK.22" localSheetId="16">#REF!</definedName>
    <definedName name="SK.22" localSheetId="9">#REF!</definedName>
    <definedName name="SK.22" localSheetId="25">#REF!</definedName>
    <definedName name="SK.22" localSheetId="19">#REF!</definedName>
    <definedName name="SK.22" localSheetId="22">#REF!</definedName>
    <definedName name="SK.22" localSheetId="21">#REF!</definedName>
    <definedName name="SK.22" localSheetId="8">#REF!</definedName>
    <definedName name="SK.22" localSheetId="20">#REF!</definedName>
    <definedName name="SK.22" localSheetId="15">#REF!</definedName>
    <definedName name="SK.22" localSheetId="18">#REF!</definedName>
    <definedName name="SK.22" localSheetId="14">#REF!</definedName>
    <definedName name="SK.22">#REF!</definedName>
    <definedName name="SK.23" localSheetId="28">#REF!</definedName>
    <definedName name="SK.23" localSheetId="13">#REF!</definedName>
    <definedName name="SK.23" localSheetId="26">#REF!</definedName>
    <definedName name="SK.23" localSheetId="16">#REF!</definedName>
    <definedName name="SK.23" localSheetId="9">#REF!</definedName>
    <definedName name="SK.23" localSheetId="25">#REF!</definedName>
    <definedName name="SK.23" localSheetId="19">#REF!</definedName>
    <definedName name="SK.23" localSheetId="22">#REF!</definedName>
    <definedName name="SK.23" localSheetId="21">#REF!</definedName>
    <definedName name="SK.23" localSheetId="8">#REF!</definedName>
    <definedName name="SK.23" localSheetId="20">#REF!</definedName>
    <definedName name="SK.23" localSheetId="15">#REF!</definedName>
    <definedName name="SK.23" localSheetId="18">#REF!</definedName>
    <definedName name="SK.23" localSheetId="14">#REF!</definedName>
    <definedName name="SK.23">#REF!</definedName>
    <definedName name="SK.24" localSheetId="28">#REF!</definedName>
    <definedName name="SK.24" localSheetId="13">#REF!</definedName>
    <definedName name="SK.24" localSheetId="26">#REF!</definedName>
    <definedName name="SK.24" localSheetId="16">#REF!</definedName>
    <definedName name="SK.24" localSheetId="9">#REF!</definedName>
    <definedName name="SK.24" localSheetId="25">#REF!</definedName>
    <definedName name="SK.24" localSheetId="19">#REF!</definedName>
    <definedName name="SK.24" localSheetId="22">#REF!</definedName>
    <definedName name="SK.24" localSheetId="21">#REF!</definedName>
    <definedName name="SK.24" localSheetId="8">#REF!</definedName>
    <definedName name="SK.24" localSheetId="20">#REF!</definedName>
    <definedName name="SK.24" localSheetId="15">#REF!</definedName>
    <definedName name="SK.24" localSheetId="18">#REF!</definedName>
    <definedName name="SK.24" localSheetId="14">#REF!</definedName>
    <definedName name="SK.24">#REF!</definedName>
    <definedName name="SK.25" localSheetId="28">#REF!</definedName>
    <definedName name="SK.25" localSheetId="13">#REF!</definedName>
    <definedName name="SK.25" localSheetId="26">#REF!</definedName>
    <definedName name="SK.25" localSheetId="16">#REF!</definedName>
    <definedName name="SK.25" localSheetId="9">#REF!</definedName>
    <definedName name="SK.25" localSheetId="25">#REF!</definedName>
    <definedName name="SK.25" localSheetId="19">#REF!</definedName>
    <definedName name="SK.25" localSheetId="22">#REF!</definedName>
    <definedName name="SK.25" localSheetId="21">#REF!</definedName>
    <definedName name="SK.25" localSheetId="8">#REF!</definedName>
    <definedName name="SK.25" localSheetId="20">#REF!</definedName>
    <definedName name="SK.25" localSheetId="15">#REF!</definedName>
    <definedName name="SK.25" localSheetId="18">#REF!</definedName>
    <definedName name="SK.25" localSheetId="14">#REF!</definedName>
    <definedName name="SK.25">#REF!</definedName>
    <definedName name="SK.26" localSheetId="28">#REF!</definedName>
    <definedName name="SK.26" localSheetId="13">#REF!</definedName>
    <definedName name="SK.26" localSheetId="26">#REF!</definedName>
    <definedName name="SK.26" localSheetId="16">#REF!</definedName>
    <definedName name="SK.26" localSheetId="9">#REF!</definedName>
    <definedName name="SK.26" localSheetId="25">#REF!</definedName>
    <definedName name="SK.26" localSheetId="19">#REF!</definedName>
    <definedName name="SK.26" localSheetId="22">#REF!</definedName>
    <definedName name="SK.26" localSheetId="21">#REF!</definedName>
    <definedName name="SK.26" localSheetId="8">#REF!</definedName>
    <definedName name="SK.26" localSheetId="20">#REF!</definedName>
    <definedName name="SK.26" localSheetId="15">#REF!</definedName>
    <definedName name="SK.26" localSheetId="18">#REF!</definedName>
    <definedName name="SK.26" localSheetId="14">#REF!</definedName>
    <definedName name="SK.26">#REF!</definedName>
    <definedName name="SK.27" localSheetId="28">#REF!</definedName>
    <definedName name="SK.27" localSheetId="13">#REF!</definedName>
    <definedName name="SK.27" localSheetId="26">#REF!</definedName>
    <definedName name="SK.27" localSheetId="16">#REF!</definedName>
    <definedName name="SK.27" localSheetId="9">#REF!</definedName>
    <definedName name="SK.27" localSheetId="25">#REF!</definedName>
    <definedName name="SK.27" localSheetId="19">#REF!</definedName>
    <definedName name="SK.27" localSheetId="22">#REF!</definedName>
    <definedName name="SK.27" localSheetId="21">#REF!</definedName>
    <definedName name="SK.27" localSheetId="8">#REF!</definedName>
    <definedName name="SK.27" localSheetId="20">#REF!</definedName>
    <definedName name="SK.27" localSheetId="15">#REF!</definedName>
    <definedName name="SK.27" localSheetId="18">#REF!</definedName>
    <definedName name="SK.27" localSheetId="14">#REF!</definedName>
    <definedName name="SK.27">#REF!</definedName>
    <definedName name="SK.28" localSheetId="28">#REF!</definedName>
    <definedName name="SK.28" localSheetId="13">#REF!</definedName>
    <definedName name="SK.28" localSheetId="26">#REF!</definedName>
    <definedName name="SK.28" localSheetId="16">#REF!</definedName>
    <definedName name="SK.28" localSheetId="9">#REF!</definedName>
    <definedName name="SK.28" localSheetId="25">#REF!</definedName>
    <definedName name="SK.28" localSheetId="19">#REF!</definedName>
    <definedName name="SK.28" localSheetId="22">#REF!</definedName>
    <definedName name="SK.28" localSheetId="21">#REF!</definedName>
    <definedName name="SK.28" localSheetId="8">#REF!</definedName>
    <definedName name="SK.28" localSheetId="20">#REF!</definedName>
    <definedName name="SK.28" localSheetId="15">#REF!</definedName>
    <definedName name="SK.28" localSheetId="18">#REF!</definedName>
    <definedName name="SK.28" localSheetId="14">#REF!</definedName>
    <definedName name="SK.28">#REF!</definedName>
    <definedName name="SK.29" localSheetId="28">#REF!</definedName>
    <definedName name="SK.29" localSheetId="13">#REF!</definedName>
    <definedName name="SK.29" localSheetId="26">#REF!</definedName>
    <definedName name="SK.29" localSheetId="16">#REF!</definedName>
    <definedName name="SK.29" localSheetId="9">#REF!</definedName>
    <definedName name="SK.29" localSheetId="25">#REF!</definedName>
    <definedName name="SK.29" localSheetId="19">#REF!</definedName>
    <definedName name="SK.29" localSheetId="22">#REF!</definedName>
    <definedName name="SK.29" localSheetId="21">#REF!</definedName>
    <definedName name="SK.29" localSheetId="8">#REF!</definedName>
    <definedName name="SK.29" localSheetId="20">#REF!</definedName>
    <definedName name="SK.29" localSheetId="15">#REF!</definedName>
    <definedName name="SK.29" localSheetId="18">#REF!</definedName>
    <definedName name="SK.29" localSheetId="14">#REF!</definedName>
    <definedName name="SK.29">#REF!</definedName>
    <definedName name="SK.30" localSheetId="28">#REF!</definedName>
    <definedName name="SK.30" localSheetId="13">#REF!</definedName>
    <definedName name="SK.30" localSheetId="26">#REF!</definedName>
    <definedName name="SK.30" localSheetId="16">#REF!</definedName>
    <definedName name="SK.30" localSheetId="9">#REF!</definedName>
    <definedName name="SK.30" localSheetId="25">#REF!</definedName>
    <definedName name="SK.30" localSheetId="19">#REF!</definedName>
    <definedName name="SK.30" localSheetId="22">#REF!</definedName>
    <definedName name="SK.30" localSheetId="21">#REF!</definedName>
    <definedName name="SK.30" localSheetId="8">#REF!</definedName>
    <definedName name="SK.30" localSheetId="20">#REF!</definedName>
    <definedName name="SK.30" localSheetId="15">#REF!</definedName>
    <definedName name="SK.30" localSheetId="18">#REF!</definedName>
    <definedName name="SK.30" localSheetId="14">#REF!</definedName>
    <definedName name="SK.30">#REF!</definedName>
    <definedName name="SK.31" localSheetId="28">#REF!</definedName>
    <definedName name="SK.31" localSheetId="13">#REF!</definedName>
    <definedName name="SK.31" localSheetId="26">#REF!</definedName>
    <definedName name="SK.31" localSheetId="16">#REF!</definedName>
    <definedName name="SK.31" localSheetId="9">#REF!</definedName>
    <definedName name="SK.31" localSheetId="25">#REF!</definedName>
    <definedName name="SK.31" localSheetId="19">#REF!</definedName>
    <definedName name="SK.31" localSheetId="22">#REF!</definedName>
    <definedName name="SK.31" localSheetId="21">#REF!</definedName>
    <definedName name="SK.31" localSheetId="8">#REF!</definedName>
    <definedName name="SK.31" localSheetId="20">#REF!</definedName>
    <definedName name="SK.31" localSheetId="15">#REF!</definedName>
    <definedName name="SK.31" localSheetId="18">#REF!</definedName>
    <definedName name="SK.31" localSheetId="14">#REF!</definedName>
    <definedName name="SK.31">#REF!</definedName>
    <definedName name="SK.32" localSheetId="28">#REF!</definedName>
    <definedName name="SK.32" localSheetId="13">#REF!</definedName>
    <definedName name="SK.32" localSheetId="26">#REF!</definedName>
    <definedName name="SK.32" localSheetId="16">#REF!</definedName>
    <definedName name="SK.32" localSheetId="9">#REF!</definedName>
    <definedName name="SK.32" localSheetId="25">#REF!</definedName>
    <definedName name="SK.32" localSheetId="19">#REF!</definedName>
    <definedName name="SK.32" localSheetId="22">#REF!</definedName>
    <definedName name="SK.32" localSheetId="21">#REF!</definedName>
    <definedName name="SK.32" localSheetId="8">#REF!</definedName>
    <definedName name="SK.32" localSheetId="20">#REF!</definedName>
    <definedName name="SK.32" localSheetId="15">#REF!</definedName>
    <definedName name="SK.32" localSheetId="18">#REF!</definedName>
    <definedName name="SK.32" localSheetId="14">#REF!</definedName>
    <definedName name="SK.32">#REF!</definedName>
    <definedName name="SK.33" localSheetId="28">#REF!</definedName>
    <definedName name="SK.33" localSheetId="13">#REF!</definedName>
    <definedName name="SK.33" localSheetId="26">#REF!</definedName>
    <definedName name="SK.33" localSheetId="16">#REF!</definedName>
    <definedName name="SK.33" localSheetId="9">#REF!</definedName>
    <definedName name="SK.33" localSheetId="25">#REF!</definedName>
    <definedName name="SK.33" localSheetId="19">#REF!</definedName>
    <definedName name="SK.33" localSheetId="22">#REF!</definedName>
    <definedName name="SK.33" localSheetId="21">#REF!</definedName>
    <definedName name="SK.33" localSheetId="8">#REF!</definedName>
    <definedName name="SK.33" localSheetId="20">#REF!</definedName>
    <definedName name="SK.33" localSheetId="15">#REF!</definedName>
    <definedName name="SK.33" localSheetId="18">#REF!</definedName>
    <definedName name="SK.33" localSheetId="14">#REF!</definedName>
    <definedName name="SK.33">#REF!</definedName>
    <definedName name="SK.34" localSheetId="28">#REF!</definedName>
    <definedName name="SK.34" localSheetId="13">#REF!</definedName>
    <definedName name="SK.34" localSheetId="26">#REF!</definedName>
    <definedName name="SK.34" localSheetId="16">#REF!</definedName>
    <definedName name="SK.34" localSheetId="9">#REF!</definedName>
    <definedName name="SK.34" localSheetId="25">#REF!</definedName>
    <definedName name="SK.34" localSheetId="19">#REF!</definedName>
    <definedName name="SK.34" localSheetId="22">#REF!</definedName>
    <definedName name="SK.34" localSheetId="21">#REF!</definedName>
    <definedName name="SK.34" localSheetId="8">#REF!</definedName>
    <definedName name="SK.34" localSheetId="20">#REF!</definedName>
    <definedName name="SK.34" localSheetId="15">#REF!</definedName>
    <definedName name="SK.34" localSheetId="18">#REF!</definedName>
    <definedName name="SK.34" localSheetId="14">#REF!</definedName>
    <definedName name="SK.34">#REF!</definedName>
    <definedName name="SK.36" localSheetId="28">#REF!</definedName>
    <definedName name="SK.36" localSheetId="13">#REF!</definedName>
    <definedName name="SK.36" localSheetId="26">#REF!</definedName>
    <definedName name="SK.36" localSheetId="16">#REF!</definedName>
    <definedName name="SK.36" localSheetId="9">#REF!</definedName>
    <definedName name="SK.36" localSheetId="25">#REF!</definedName>
    <definedName name="SK.36" localSheetId="19">#REF!</definedName>
    <definedName name="SK.36" localSheetId="22">#REF!</definedName>
    <definedName name="SK.36" localSheetId="21">#REF!</definedName>
    <definedName name="SK.36" localSheetId="8">#REF!</definedName>
    <definedName name="SK.36" localSheetId="20">#REF!</definedName>
    <definedName name="SK.36" localSheetId="15">#REF!</definedName>
    <definedName name="SK.36" localSheetId="18">#REF!</definedName>
    <definedName name="SK.36" localSheetId="14">#REF!</definedName>
    <definedName name="SK.36">#REF!</definedName>
    <definedName name="SK.37" localSheetId="28">#REF!</definedName>
    <definedName name="SK.37" localSheetId="13">#REF!</definedName>
    <definedName name="SK.37" localSheetId="26">#REF!</definedName>
    <definedName name="SK.37" localSheetId="16">#REF!</definedName>
    <definedName name="SK.37" localSheetId="9">#REF!</definedName>
    <definedName name="SK.37" localSheetId="25">#REF!</definedName>
    <definedName name="SK.37" localSheetId="19">#REF!</definedName>
    <definedName name="SK.37" localSheetId="22">#REF!</definedName>
    <definedName name="SK.37" localSheetId="21">#REF!</definedName>
    <definedName name="SK.37" localSheetId="8">#REF!</definedName>
    <definedName name="SK.37" localSheetId="20">#REF!</definedName>
    <definedName name="SK.37" localSheetId="15">#REF!</definedName>
    <definedName name="SK.37" localSheetId="18">#REF!</definedName>
    <definedName name="SK.37" localSheetId="14">#REF!</definedName>
    <definedName name="SK.37">#REF!</definedName>
    <definedName name="SK.38" localSheetId="28">#REF!</definedName>
    <definedName name="SK.38" localSheetId="13">#REF!</definedName>
    <definedName name="SK.38" localSheetId="26">#REF!</definedName>
    <definedName name="SK.38" localSheetId="16">#REF!</definedName>
    <definedName name="SK.38" localSheetId="9">#REF!</definedName>
    <definedName name="SK.38" localSheetId="25">#REF!</definedName>
    <definedName name="SK.38" localSheetId="19">#REF!</definedName>
    <definedName name="SK.38" localSheetId="22">#REF!</definedName>
    <definedName name="SK.38" localSheetId="21">#REF!</definedName>
    <definedName name="SK.38" localSheetId="8">#REF!</definedName>
    <definedName name="SK.38" localSheetId="20">#REF!</definedName>
    <definedName name="SK.38" localSheetId="15">#REF!</definedName>
    <definedName name="SK.38" localSheetId="18">#REF!</definedName>
    <definedName name="SK.38" localSheetId="14">#REF!</definedName>
    <definedName name="SK.38">#REF!</definedName>
    <definedName name="SK.39" localSheetId="28">#REF!</definedName>
    <definedName name="SK.39" localSheetId="13">#REF!</definedName>
    <definedName name="SK.39" localSheetId="26">#REF!</definedName>
    <definedName name="SK.39" localSheetId="16">#REF!</definedName>
    <definedName name="SK.39" localSheetId="9">#REF!</definedName>
    <definedName name="SK.39" localSheetId="25">#REF!</definedName>
    <definedName name="SK.39" localSheetId="19">#REF!</definedName>
    <definedName name="SK.39" localSheetId="22">#REF!</definedName>
    <definedName name="SK.39" localSheetId="21">#REF!</definedName>
    <definedName name="SK.39" localSheetId="8">#REF!</definedName>
    <definedName name="SK.39" localSheetId="20">#REF!</definedName>
    <definedName name="SK.39" localSheetId="15">#REF!</definedName>
    <definedName name="SK.39" localSheetId="18">#REF!</definedName>
    <definedName name="SK.39" localSheetId="14">#REF!</definedName>
    <definedName name="SK.39">#REF!</definedName>
    <definedName name="SK.42" localSheetId="28">#REF!</definedName>
    <definedName name="SK.42" localSheetId="13">#REF!</definedName>
    <definedName name="SK.42" localSheetId="26">#REF!</definedName>
    <definedName name="SK.42" localSheetId="16">#REF!</definedName>
    <definedName name="SK.42" localSheetId="9">#REF!</definedName>
    <definedName name="SK.42" localSheetId="25">#REF!</definedName>
    <definedName name="SK.42" localSheetId="19">#REF!</definedName>
    <definedName name="SK.42" localSheetId="22">#REF!</definedName>
    <definedName name="SK.42" localSheetId="21">#REF!</definedName>
    <definedName name="SK.42" localSheetId="8">#REF!</definedName>
    <definedName name="SK.42" localSheetId="20">#REF!</definedName>
    <definedName name="SK.42" localSheetId="15">#REF!</definedName>
    <definedName name="SK.42" localSheetId="18">#REF!</definedName>
    <definedName name="SK.42" localSheetId="14">#REF!</definedName>
    <definedName name="SK.42">#REF!</definedName>
    <definedName name="SK.43" localSheetId="28">#REF!</definedName>
    <definedName name="SK.43" localSheetId="13">#REF!</definedName>
    <definedName name="SK.43" localSheetId="26">#REF!</definedName>
    <definedName name="SK.43" localSheetId="16">#REF!</definedName>
    <definedName name="SK.43" localSheetId="9">#REF!</definedName>
    <definedName name="SK.43" localSheetId="25">#REF!</definedName>
    <definedName name="SK.43" localSheetId="19">#REF!</definedName>
    <definedName name="SK.43" localSheetId="22">#REF!</definedName>
    <definedName name="SK.43" localSheetId="21">#REF!</definedName>
    <definedName name="SK.43" localSheetId="8">#REF!</definedName>
    <definedName name="SK.43" localSheetId="20">#REF!</definedName>
    <definedName name="SK.43" localSheetId="15">#REF!</definedName>
    <definedName name="SK.43" localSheetId="18">#REF!</definedName>
    <definedName name="SK.43" localSheetId="14">#REF!</definedName>
    <definedName name="SK.43">#REF!</definedName>
    <definedName name="SK.44" localSheetId="28">#REF!</definedName>
    <definedName name="SK.44" localSheetId="13">#REF!</definedName>
    <definedName name="SK.44" localSheetId="26">#REF!</definedName>
    <definedName name="SK.44" localSheetId="16">#REF!</definedName>
    <definedName name="SK.44" localSheetId="9">#REF!</definedName>
    <definedName name="SK.44" localSheetId="25">#REF!</definedName>
    <definedName name="SK.44" localSheetId="19">#REF!</definedName>
    <definedName name="SK.44" localSheetId="22">#REF!</definedName>
    <definedName name="SK.44" localSheetId="21">#REF!</definedName>
    <definedName name="SK.44" localSheetId="8">#REF!</definedName>
    <definedName name="SK.44" localSheetId="20">#REF!</definedName>
    <definedName name="SK.44" localSheetId="15">#REF!</definedName>
    <definedName name="SK.44" localSheetId="18">#REF!</definedName>
    <definedName name="SK.44" localSheetId="14">#REF!</definedName>
    <definedName name="SK.44">#REF!</definedName>
    <definedName name="SK.45" localSheetId="28">#REF!</definedName>
    <definedName name="SK.45" localSheetId="13">#REF!</definedName>
    <definedName name="SK.45" localSheetId="26">#REF!</definedName>
    <definedName name="SK.45" localSheetId="16">#REF!</definedName>
    <definedName name="SK.45" localSheetId="9">#REF!</definedName>
    <definedName name="SK.45" localSheetId="25">#REF!</definedName>
    <definedName name="SK.45" localSheetId="19">#REF!</definedName>
    <definedName name="SK.45" localSheetId="22">#REF!</definedName>
    <definedName name="SK.45" localSheetId="21">#REF!</definedName>
    <definedName name="SK.45" localSheetId="8">#REF!</definedName>
    <definedName name="SK.45" localSheetId="20">#REF!</definedName>
    <definedName name="SK.45" localSheetId="15">#REF!</definedName>
    <definedName name="SK.45" localSheetId="18">#REF!</definedName>
    <definedName name="SK.45" localSheetId="14">#REF!</definedName>
    <definedName name="SK.45">#REF!</definedName>
    <definedName name="SK.46" localSheetId="28">#REF!</definedName>
    <definedName name="SK.46" localSheetId="13">#REF!</definedName>
    <definedName name="SK.46" localSheetId="26">#REF!</definedName>
    <definedName name="SK.46" localSheetId="16">#REF!</definedName>
    <definedName name="SK.46" localSheetId="9">#REF!</definedName>
    <definedName name="SK.46" localSheetId="25">#REF!</definedName>
    <definedName name="SK.46" localSheetId="19">#REF!</definedName>
    <definedName name="SK.46" localSheetId="22">#REF!</definedName>
    <definedName name="SK.46" localSheetId="21">#REF!</definedName>
    <definedName name="SK.46" localSheetId="8">#REF!</definedName>
    <definedName name="SK.46" localSheetId="20">#REF!</definedName>
    <definedName name="SK.46" localSheetId="15">#REF!</definedName>
    <definedName name="SK.46" localSheetId="18">#REF!</definedName>
    <definedName name="SK.46" localSheetId="14">#REF!</definedName>
    <definedName name="SK.46">#REF!</definedName>
    <definedName name="SK.47" localSheetId="28">#REF!</definedName>
    <definedName name="SK.47" localSheetId="13">#REF!</definedName>
    <definedName name="SK.47" localSheetId="26">#REF!</definedName>
    <definedName name="SK.47" localSheetId="16">#REF!</definedName>
    <definedName name="SK.47" localSheetId="9">#REF!</definedName>
    <definedName name="SK.47" localSheetId="25">#REF!</definedName>
    <definedName name="SK.47" localSheetId="19">#REF!</definedName>
    <definedName name="SK.47" localSheetId="22">#REF!</definedName>
    <definedName name="SK.47" localSheetId="21">#REF!</definedName>
    <definedName name="SK.47" localSheetId="8">#REF!</definedName>
    <definedName name="SK.47" localSheetId="20">#REF!</definedName>
    <definedName name="SK.47" localSheetId="15">#REF!</definedName>
    <definedName name="SK.47" localSheetId="18">#REF!</definedName>
    <definedName name="SK.47" localSheetId="14">#REF!</definedName>
    <definedName name="SK.47">#REF!</definedName>
    <definedName name="SK.48" localSheetId="28">#REF!</definedName>
    <definedName name="SK.48" localSheetId="13">#REF!</definedName>
    <definedName name="SK.48" localSheetId="26">#REF!</definedName>
    <definedName name="SK.48" localSheetId="16">#REF!</definedName>
    <definedName name="SK.48" localSheetId="9">#REF!</definedName>
    <definedName name="SK.48" localSheetId="25">#REF!</definedName>
    <definedName name="SK.48" localSheetId="19">#REF!</definedName>
    <definedName name="SK.48" localSheetId="22">#REF!</definedName>
    <definedName name="SK.48" localSheetId="21">#REF!</definedName>
    <definedName name="SK.48" localSheetId="8">#REF!</definedName>
    <definedName name="SK.48" localSheetId="20">#REF!</definedName>
    <definedName name="SK.48" localSheetId="15">#REF!</definedName>
    <definedName name="SK.48" localSheetId="18">#REF!</definedName>
    <definedName name="SK.48" localSheetId="14">#REF!</definedName>
    <definedName name="SK.48">#REF!</definedName>
    <definedName name="SK.49" localSheetId="28">#REF!</definedName>
    <definedName name="SK.49" localSheetId="13">#REF!</definedName>
    <definedName name="SK.49" localSheetId="26">#REF!</definedName>
    <definedName name="SK.49" localSheetId="16">#REF!</definedName>
    <definedName name="SK.49" localSheetId="9">#REF!</definedName>
    <definedName name="SK.49" localSheetId="25">#REF!</definedName>
    <definedName name="SK.49" localSheetId="19">#REF!</definedName>
    <definedName name="SK.49" localSheetId="22">#REF!</definedName>
    <definedName name="SK.49" localSheetId="21">#REF!</definedName>
    <definedName name="SK.49" localSheetId="8">#REF!</definedName>
    <definedName name="SK.49" localSheetId="20">#REF!</definedName>
    <definedName name="SK.49" localSheetId="15">#REF!</definedName>
    <definedName name="SK.49" localSheetId="18">#REF!</definedName>
    <definedName name="SK.49" localSheetId="14">#REF!</definedName>
    <definedName name="SK.49">#REF!</definedName>
    <definedName name="SK.50" localSheetId="28">#REF!</definedName>
    <definedName name="SK.50" localSheetId="13">#REF!</definedName>
    <definedName name="SK.50" localSheetId="26">#REF!</definedName>
    <definedName name="SK.50" localSheetId="16">#REF!</definedName>
    <definedName name="SK.50" localSheetId="9">#REF!</definedName>
    <definedName name="SK.50" localSheetId="25">#REF!</definedName>
    <definedName name="SK.50" localSheetId="19">#REF!</definedName>
    <definedName name="SK.50" localSheetId="22">#REF!</definedName>
    <definedName name="SK.50" localSheetId="21">#REF!</definedName>
    <definedName name="SK.50" localSheetId="8">#REF!</definedName>
    <definedName name="SK.50" localSheetId="20">#REF!</definedName>
    <definedName name="SK.50" localSheetId="15">#REF!</definedName>
    <definedName name="SK.50" localSheetId="18">#REF!</definedName>
    <definedName name="SK.50" localSheetId="14">#REF!</definedName>
    <definedName name="SK.50">#REF!</definedName>
    <definedName name="SK.51" localSheetId="28">#REF!</definedName>
    <definedName name="SK.51" localSheetId="13">#REF!</definedName>
    <definedName name="SK.51" localSheetId="26">#REF!</definedName>
    <definedName name="SK.51" localSheetId="16">#REF!</definedName>
    <definedName name="SK.51" localSheetId="9">#REF!</definedName>
    <definedName name="SK.51" localSheetId="25">#REF!</definedName>
    <definedName name="SK.51" localSheetId="19">#REF!</definedName>
    <definedName name="SK.51" localSheetId="22">#REF!</definedName>
    <definedName name="SK.51" localSheetId="21">#REF!</definedName>
    <definedName name="SK.51" localSheetId="8">#REF!</definedName>
    <definedName name="SK.51" localSheetId="20">#REF!</definedName>
    <definedName name="SK.51" localSheetId="15">#REF!</definedName>
    <definedName name="SK.51" localSheetId="18">#REF!</definedName>
    <definedName name="SK.51" localSheetId="14">#REF!</definedName>
    <definedName name="SK.51">#REF!</definedName>
    <definedName name="SK.52" localSheetId="28">#REF!</definedName>
    <definedName name="SK.52" localSheetId="13">#REF!</definedName>
    <definedName name="SK.52" localSheetId="26">#REF!</definedName>
    <definedName name="SK.52" localSheetId="16">#REF!</definedName>
    <definedName name="SK.52" localSheetId="9">#REF!</definedName>
    <definedName name="SK.52" localSheetId="25">#REF!</definedName>
    <definedName name="SK.52" localSheetId="19">#REF!</definedName>
    <definedName name="SK.52" localSheetId="22">#REF!</definedName>
    <definedName name="SK.52" localSheetId="21">#REF!</definedName>
    <definedName name="SK.52" localSheetId="8">#REF!</definedName>
    <definedName name="SK.52" localSheetId="20">#REF!</definedName>
    <definedName name="SK.52" localSheetId="15">#REF!</definedName>
    <definedName name="SK.52" localSheetId="18">#REF!</definedName>
    <definedName name="SK.52" localSheetId="14">#REF!</definedName>
    <definedName name="SK.52">#REF!</definedName>
    <definedName name="SK.53" localSheetId="28">#REF!</definedName>
    <definedName name="SK.53" localSheetId="13">#REF!</definedName>
    <definedName name="SK.53" localSheetId="26">#REF!</definedName>
    <definedName name="SK.53" localSheetId="16">#REF!</definedName>
    <definedName name="SK.53" localSheetId="9">#REF!</definedName>
    <definedName name="SK.53" localSheetId="25">#REF!</definedName>
    <definedName name="SK.53" localSheetId="19">#REF!</definedName>
    <definedName name="SK.53" localSheetId="22">#REF!</definedName>
    <definedName name="SK.53" localSheetId="21">#REF!</definedName>
    <definedName name="SK.53" localSheetId="8">#REF!</definedName>
    <definedName name="SK.53" localSheetId="20">#REF!</definedName>
    <definedName name="SK.53" localSheetId="15">#REF!</definedName>
    <definedName name="SK.53" localSheetId="18">#REF!</definedName>
    <definedName name="SK.53" localSheetId="14">#REF!</definedName>
    <definedName name="SK.53">#REF!</definedName>
    <definedName name="SK.54" localSheetId="28">#REF!</definedName>
    <definedName name="SK.54" localSheetId="13">#REF!</definedName>
    <definedName name="SK.54" localSheetId="26">#REF!</definedName>
    <definedName name="SK.54" localSheetId="16">#REF!</definedName>
    <definedName name="SK.54" localSheetId="9">#REF!</definedName>
    <definedName name="SK.54" localSheetId="25">#REF!</definedName>
    <definedName name="SK.54" localSheetId="19">#REF!</definedName>
    <definedName name="SK.54" localSheetId="22">#REF!</definedName>
    <definedName name="SK.54" localSheetId="21">#REF!</definedName>
    <definedName name="SK.54" localSheetId="8">#REF!</definedName>
    <definedName name="SK.54" localSheetId="20">#REF!</definedName>
    <definedName name="SK.54" localSheetId="15">#REF!</definedName>
    <definedName name="SK.54" localSheetId="18">#REF!</definedName>
    <definedName name="SK.54" localSheetId="14">#REF!</definedName>
    <definedName name="SK.54">#REF!</definedName>
    <definedName name="tambah">'DATA SKP2'!$T$8:$U$17</definedName>
    <definedName name="TB_1">'[5]TABEL ABK'!$H$4:$I$34</definedName>
    <definedName name="TB_2">'[5]TABEL ABK'!$K$4:$L$34</definedName>
    <definedName name="TB_3">'[5]TABEL ABK'!$N$4:$O$34</definedName>
    <definedName name="TB_4">'[5]TABEL ABK'!$Q$4:$R$34</definedName>
    <definedName name="TB_5">'[5]TABEL ABK'!$T$4:$U$34</definedName>
    <definedName name="TB_KTU">'[5]TABEL ABK'!$E$4:$F$34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4" i="64" l="1"/>
  <c r="A25" i="64"/>
  <c r="A21" i="64"/>
  <c r="A22" i="64"/>
  <c r="A18" i="64"/>
  <c r="A19" i="64"/>
  <c r="J41" i="63"/>
  <c r="I41" i="63"/>
  <c r="E38" i="63"/>
  <c r="B38" i="63"/>
  <c r="E37" i="63"/>
  <c r="B37" i="63"/>
  <c r="E36" i="63"/>
  <c r="B36" i="63"/>
  <c r="A26" i="63"/>
  <c r="A27" i="63"/>
  <c r="A23" i="63"/>
  <c r="A24" i="63"/>
  <c r="A20" i="63"/>
  <c r="A21" i="63"/>
  <c r="A17" i="63"/>
  <c r="A18" i="63"/>
  <c r="H19" i="62"/>
  <c r="H18" i="62"/>
  <c r="G13" i="7" l="1"/>
  <c r="G14" i="7"/>
  <c r="G15" i="7"/>
  <c r="G16" i="7"/>
  <c r="G12" i="7"/>
  <c r="D4" i="71" l="1"/>
  <c r="X23" i="64" l="1"/>
  <c r="X20" i="64"/>
  <c r="X17" i="64"/>
  <c r="P44" i="61" l="1"/>
  <c r="J76" i="60"/>
  <c r="L23" i="62" l="1"/>
  <c r="L20" i="62"/>
  <c r="L19" i="62"/>
  <c r="L17" i="62"/>
  <c r="H20" i="62"/>
  <c r="H17" i="62"/>
  <c r="N23" i="62"/>
  <c r="N17" i="62"/>
  <c r="N19" i="62"/>
  <c r="D31" i="71"/>
  <c r="D22" i="71"/>
  <c r="D23" i="71"/>
  <c r="D24" i="71"/>
  <c r="D25" i="71"/>
  <c r="D21" i="71"/>
  <c r="D15" i="71"/>
  <c r="D16" i="71"/>
  <c r="D18" i="71"/>
  <c r="D14" i="71"/>
  <c r="D3" i="71"/>
  <c r="D8" i="71"/>
  <c r="A49" i="71" s="1"/>
  <c r="D9" i="71"/>
  <c r="D11" i="71"/>
  <c r="D7" i="71"/>
  <c r="D49" i="71"/>
  <c r="D48" i="71"/>
  <c r="A48" i="71"/>
  <c r="J9" i="67" l="1"/>
  <c r="F37" i="64" l="1"/>
  <c r="F38" i="64"/>
  <c r="F39" i="64"/>
  <c r="M36" i="67"/>
  <c r="I37" i="64" s="1"/>
  <c r="N36" i="67"/>
  <c r="J37" i="64" s="1"/>
  <c r="O36" i="67"/>
  <c r="K37" i="64" s="1"/>
  <c r="P36" i="67"/>
  <c r="L37" i="64" s="1"/>
  <c r="M37" i="67"/>
  <c r="I38" i="64" s="1"/>
  <c r="N37" i="67"/>
  <c r="J38" i="64" s="1"/>
  <c r="O37" i="67"/>
  <c r="K38" i="64" s="1"/>
  <c r="P37" i="67"/>
  <c r="L38" i="64" s="1"/>
  <c r="M38" i="67"/>
  <c r="I39" i="64" s="1"/>
  <c r="N38" i="67"/>
  <c r="J39" i="64" s="1"/>
  <c r="O38" i="67"/>
  <c r="K39" i="64" s="1"/>
  <c r="P38" i="67"/>
  <c r="L39" i="64" s="1"/>
  <c r="G37" i="64"/>
  <c r="G38" i="64"/>
  <c r="G39" i="64"/>
  <c r="E36" i="67"/>
  <c r="D37" i="64" s="1"/>
  <c r="N36" i="63"/>
  <c r="O36" i="63"/>
  <c r="P36" i="63"/>
  <c r="Q36" i="63"/>
  <c r="N37" i="63"/>
  <c r="O37" i="63"/>
  <c r="P37" i="63"/>
  <c r="Q37" i="63"/>
  <c r="N38" i="63"/>
  <c r="O38" i="63"/>
  <c r="P38" i="63"/>
  <c r="Q38" i="63"/>
  <c r="J36" i="63"/>
  <c r="J37" i="63"/>
  <c r="J38" i="63"/>
  <c r="I36" i="63"/>
  <c r="I37" i="63"/>
  <c r="I38" i="63"/>
  <c r="H24" i="62"/>
  <c r="E24" i="62"/>
  <c r="Q36" i="64" l="1"/>
  <c r="F35" i="64"/>
  <c r="F36" i="64"/>
  <c r="F40" i="64"/>
  <c r="F41" i="64"/>
  <c r="F42" i="64"/>
  <c r="F34" i="64"/>
  <c r="D35" i="64"/>
  <c r="D36" i="64"/>
  <c r="D41" i="64"/>
  <c r="D42" i="64"/>
  <c r="A35" i="64"/>
  <c r="A36" i="64"/>
  <c r="A41" i="64"/>
  <c r="A42" i="64"/>
  <c r="M39" i="67"/>
  <c r="I40" i="64" s="1"/>
  <c r="N39" i="67"/>
  <c r="J40" i="64" s="1"/>
  <c r="O39" i="67"/>
  <c r="K40" i="64" s="1"/>
  <c r="P39" i="67"/>
  <c r="L40" i="64" s="1"/>
  <c r="M40" i="67"/>
  <c r="I41" i="64" s="1"/>
  <c r="O40" i="67"/>
  <c r="K41" i="64" s="1"/>
  <c r="P40" i="67"/>
  <c r="L41" i="64" s="1"/>
  <c r="M41" i="67"/>
  <c r="N41" i="67"/>
  <c r="O41" i="67"/>
  <c r="P41" i="67"/>
  <c r="G41" i="64"/>
  <c r="G40" i="64"/>
  <c r="M35" i="67"/>
  <c r="I36" i="64" s="1"/>
  <c r="N35" i="67"/>
  <c r="J36" i="64" s="1"/>
  <c r="O35" i="67"/>
  <c r="K36" i="64" s="1"/>
  <c r="P35" i="67"/>
  <c r="L36" i="64" s="1"/>
  <c r="N36" i="64" s="1"/>
  <c r="I35" i="67"/>
  <c r="G36" i="64" s="1"/>
  <c r="E39" i="67"/>
  <c r="D40" i="64" s="1"/>
  <c r="N40" i="63"/>
  <c r="P40" i="63"/>
  <c r="Q40" i="63"/>
  <c r="N41" i="63"/>
  <c r="O41" i="63"/>
  <c r="P41" i="63"/>
  <c r="Q41" i="63"/>
  <c r="I40" i="63"/>
  <c r="J40" i="63"/>
  <c r="E40" i="63"/>
  <c r="B40" i="63"/>
  <c r="Q39" i="63"/>
  <c r="P39" i="63"/>
  <c r="O39" i="63"/>
  <c r="N39" i="63"/>
  <c r="J39" i="63"/>
  <c r="I39" i="63"/>
  <c r="E39" i="63"/>
  <c r="B39" i="63"/>
  <c r="Q35" i="63"/>
  <c r="P35" i="63"/>
  <c r="O35" i="63"/>
  <c r="N35" i="63"/>
  <c r="J35" i="63"/>
  <c r="I35" i="63"/>
  <c r="E35" i="63"/>
  <c r="B35" i="63"/>
  <c r="E25" i="62"/>
  <c r="H25" i="62"/>
  <c r="S36" i="64" l="1"/>
  <c r="N40" i="67" l="1"/>
  <c r="J41" i="64" s="1"/>
  <c r="O40" i="63"/>
  <c r="M34" i="67"/>
  <c r="N34" i="67"/>
  <c r="O34" i="67"/>
  <c r="P34" i="67"/>
  <c r="N33" i="67"/>
  <c r="O33" i="67"/>
  <c r="P33" i="67"/>
  <c r="M33" i="67"/>
  <c r="M17" i="67"/>
  <c r="N17" i="67"/>
  <c r="O17" i="67"/>
  <c r="P17" i="67"/>
  <c r="M18" i="67"/>
  <c r="N18" i="67"/>
  <c r="O18" i="67"/>
  <c r="P18" i="67"/>
  <c r="M19" i="67"/>
  <c r="N19" i="67"/>
  <c r="O19" i="67"/>
  <c r="P19" i="67"/>
  <c r="M20" i="67"/>
  <c r="N20" i="67"/>
  <c r="O20" i="67"/>
  <c r="P20" i="67"/>
  <c r="M21" i="67"/>
  <c r="N21" i="67"/>
  <c r="O21" i="67"/>
  <c r="P21" i="67"/>
  <c r="M22" i="67"/>
  <c r="N22" i="67"/>
  <c r="O22" i="67"/>
  <c r="P22" i="67"/>
  <c r="M23" i="67"/>
  <c r="N23" i="67"/>
  <c r="O23" i="67"/>
  <c r="P23" i="67"/>
  <c r="M24" i="67"/>
  <c r="N24" i="67"/>
  <c r="O24" i="67"/>
  <c r="P24" i="67"/>
  <c r="M25" i="67"/>
  <c r="N25" i="67"/>
  <c r="O25" i="67"/>
  <c r="P25" i="67"/>
  <c r="M26" i="67"/>
  <c r="N26" i="67"/>
  <c r="O26" i="67"/>
  <c r="P26" i="67"/>
  <c r="M27" i="67"/>
  <c r="N27" i="67"/>
  <c r="O27" i="67"/>
  <c r="P27" i="67"/>
  <c r="M28" i="67"/>
  <c r="N28" i="67"/>
  <c r="O28" i="67"/>
  <c r="P28" i="67"/>
  <c r="M29" i="67"/>
  <c r="N29" i="67"/>
  <c r="O29" i="67"/>
  <c r="P29" i="67"/>
  <c r="M30" i="67"/>
  <c r="N30" i="67"/>
  <c r="O30" i="67"/>
  <c r="P30" i="67"/>
  <c r="N16" i="67"/>
  <c r="O16" i="67"/>
  <c r="P16" i="67"/>
  <c r="M16" i="67"/>
  <c r="A2" i="63"/>
  <c r="A2" i="57"/>
  <c r="A2" i="66"/>
  <c r="G17" i="7"/>
  <c r="A2" i="65" l="1"/>
  <c r="A2" i="68" s="1"/>
  <c r="A2" i="69" s="1"/>
  <c r="A2" i="64" s="1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B17" i="63"/>
  <c r="B18" i="63"/>
  <c r="B20" i="63"/>
  <c r="B21" i="63"/>
  <c r="B23" i="63"/>
  <c r="B24" i="63"/>
  <c r="B26" i="63"/>
  <c r="B27" i="63"/>
  <c r="B29" i="63"/>
  <c r="B30" i="63"/>
  <c r="E16" i="63"/>
  <c r="D11" i="66"/>
  <c r="D11" i="57"/>
  <c r="J83" i="60"/>
  <c r="J82" i="60"/>
  <c r="B83" i="60"/>
  <c r="B82" i="60"/>
  <c r="D11" i="60"/>
  <c r="D9" i="60"/>
  <c r="D10" i="60"/>
  <c r="D8" i="60"/>
  <c r="B2" i="67" l="1"/>
  <c r="H16" i="62"/>
  <c r="F33" i="61"/>
  <c r="B33" i="63" s="1"/>
  <c r="B28" i="63"/>
  <c r="F25" i="61"/>
  <c r="B25" i="63" s="1"/>
  <c r="F22" i="61"/>
  <c r="B22" i="63" s="1"/>
  <c r="F19" i="61"/>
  <c r="B19" i="63" s="1"/>
  <c r="F16" i="61"/>
  <c r="B16" i="63" s="1"/>
  <c r="B72" i="70"/>
  <c r="B71" i="70"/>
  <c r="E20" i="62"/>
  <c r="E19" i="62"/>
  <c r="E18" i="62"/>
  <c r="E23" i="62"/>
  <c r="E17" i="62"/>
  <c r="E16" i="62"/>
  <c r="A12" i="10"/>
  <c r="J22" i="69"/>
  <c r="B18" i="25"/>
  <c r="B17" i="25"/>
  <c r="A42" i="58" l="1"/>
  <c r="D42" i="58"/>
  <c r="D31" i="58"/>
  <c r="D13" i="68"/>
  <c r="J22" i="68" s="1"/>
  <c r="J23" i="65"/>
  <c r="Q48" i="64"/>
  <c r="I35" i="64"/>
  <c r="J35" i="64"/>
  <c r="K35" i="64"/>
  <c r="L35" i="64"/>
  <c r="I42" i="64"/>
  <c r="J42" i="64"/>
  <c r="K42" i="64"/>
  <c r="L42" i="64"/>
  <c r="K34" i="64"/>
  <c r="L34" i="64"/>
  <c r="J34" i="64"/>
  <c r="I34" i="64"/>
  <c r="Q11" i="64"/>
  <c r="J11" i="65" s="1"/>
  <c r="J11" i="68" s="1"/>
  <c r="Q9" i="64"/>
  <c r="J9" i="65" s="1"/>
  <c r="J9" i="68" s="1"/>
  <c r="Q10" i="64"/>
  <c r="J10" i="65" s="1"/>
  <c r="J10" i="68" s="1"/>
  <c r="Q8" i="64"/>
  <c r="J8" i="65" s="1"/>
  <c r="J8" i="68" s="1"/>
  <c r="D9" i="64"/>
  <c r="D9" i="65" s="1"/>
  <c r="D9" i="68" s="1"/>
  <c r="D10" i="64"/>
  <c r="D10" i="65" s="1"/>
  <c r="D10" i="68" s="1"/>
  <c r="D12" i="64"/>
  <c r="D12" i="65" s="1"/>
  <c r="D12" i="68" s="1"/>
  <c r="D8" i="64"/>
  <c r="D8" i="65" s="1"/>
  <c r="D8" i="68" s="1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D18" i="64"/>
  <c r="D19" i="64"/>
  <c r="D21" i="64"/>
  <c r="D22" i="64"/>
  <c r="D24" i="64"/>
  <c r="D25" i="64"/>
  <c r="D27" i="64"/>
  <c r="D28" i="64"/>
  <c r="D30" i="64"/>
  <c r="D31" i="64"/>
  <c r="B18" i="64"/>
  <c r="B19" i="64"/>
  <c r="B21" i="64"/>
  <c r="B22" i="64"/>
  <c r="B24" i="64"/>
  <c r="B25" i="64"/>
  <c r="B27" i="64"/>
  <c r="B28" i="64"/>
  <c r="B30" i="64"/>
  <c r="B31" i="64"/>
  <c r="I18" i="64"/>
  <c r="J18" i="64"/>
  <c r="K18" i="64"/>
  <c r="L18" i="64"/>
  <c r="I19" i="64"/>
  <c r="J19" i="64"/>
  <c r="K19" i="64"/>
  <c r="L19" i="64"/>
  <c r="I20" i="64"/>
  <c r="J20" i="64"/>
  <c r="K20" i="64"/>
  <c r="L20" i="64"/>
  <c r="I21" i="64"/>
  <c r="J21" i="64"/>
  <c r="K21" i="64"/>
  <c r="L21" i="64"/>
  <c r="I22" i="64"/>
  <c r="J22" i="64"/>
  <c r="K22" i="64"/>
  <c r="L22" i="64"/>
  <c r="I23" i="64"/>
  <c r="J23" i="64"/>
  <c r="K23" i="64"/>
  <c r="L23" i="64"/>
  <c r="I24" i="64"/>
  <c r="J24" i="64"/>
  <c r="K24" i="64"/>
  <c r="L24" i="64"/>
  <c r="I25" i="64"/>
  <c r="J25" i="64"/>
  <c r="K25" i="64"/>
  <c r="L25" i="64"/>
  <c r="I26" i="64"/>
  <c r="J26" i="64"/>
  <c r="K26" i="64"/>
  <c r="L26" i="64"/>
  <c r="I27" i="64"/>
  <c r="J27" i="64"/>
  <c r="K27" i="64"/>
  <c r="L27" i="64"/>
  <c r="I28" i="64"/>
  <c r="J28" i="64"/>
  <c r="K28" i="64"/>
  <c r="L28" i="64"/>
  <c r="I29" i="64"/>
  <c r="J29" i="64"/>
  <c r="I30" i="64"/>
  <c r="J30" i="64"/>
  <c r="I31" i="64"/>
  <c r="J31" i="64"/>
  <c r="J17" i="64"/>
  <c r="K17" i="64"/>
  <c r="L17" i="64"/>
  <c r="I17" i="64"/>
  <c r="F17" i="64"/>
  <c r="J5" i="67"/>
  <c r="J11" i="67"/>
  <c r="J8" i="67"/>
  <c r="L49" i="67" s="1"/>
  <c r="D9" i="67"/>
  <c r="B50" i="67" s="1"/>
  <c r="D10" i="67"/>
  <c r="D12" i="67"/>
  <c r="D8" i="67"/>
  <c r="L43" i="67"/>
  <c r="M44" i="63"/>
  <c r="K28" i="62"/>
  <c r="I34" i="67"/>
  <c r="G35" i="64" s="1"/>
  <c r="G42" i="64"/>
  <c r="I33" i="67"/>
  <c r="G34" i="64" s="1"/>
  <c r="I17" i="67"/>
  <c r="G18" i="64" s="1"/>
  <c r="I18" i="67"/>
  <c r="G19" i="64" s="1"/>
  <c r="I19" i="67"/>
  <c r="G20" i="64" s="1"/>
  <c r="I20" i="67"/>
  <c r="G21" i="64" s="1"/>
  <c r="I21" i="67"/>
  <c r="G22" i="64" s="1"/>
  <c r="I22" i="67"/>
  <c r="G23" i="64" s="1"/>
  <c r="I23" i="67"/>
  <c r="G24" i="64" s="1"/>
  <c r="I24" i="67"/>
  <c r="G25" i="64" s="1"/>
  <c r="I25" i="67"/>
  <c r="G26" i="64" s="1"/>
  <c r="I26" i="67"/>
  <c r="G27" i="64" s="1"/>
  <c r="I27" i="67"/>
  <c r="G28" i="64" s="1"/>
  <c r="I28" i="67"/>
  <c r="G29" i="64" s="1"/>
  <c r="I29" i="67"/>
  <c r="G30" i="64" s="1"/>
  <c r="I30" i="67"/>
  <c r="G31" i="64" s="1"/>
  <c r="I16" i="67"/>
  <c r="G17" i="64" s="1"/>
  <c r="E33" i="67"/>
  <c r="D34" i="64" s="1"/>
  <c r="B33" i="67"/>
  <c r="B19" i="67"/>
  <c r="B20" i="64" s="1"/>
  <c r="E19" i="67"/>
  <c r="D20" i="64" s="1"/>
  <c r="B22" i="67"/>
  <c r="B23" i="64" s="1"/>
  <c r="E22" i="67"/>
  <c r="D23" i="64" s="1"/>
  <c r="B25" i="67"/>
  <c r="B26" i="64" s="1"/>
  <c r="E25" i="67"/>
  <c r="D26" i="64" s="1"/>
  <c r="B28" i="67"/>
  <c r="B29" i="64" s="1"/>
  <c r="E28" i="67"/>
  <c r="D29" i="64" s="1"/>
  <c r="E16" i="67"/>
  <c r="D17" i="64" s="1"/>
  <c r="B16" i="67"/>
  <c r="B17" i="64" s="1"/>
  <c r="A33" i="67"/>
  <c r="A34" i="64" s="1"/>
  <c r="A28" i="67"/>
  <c r="A25" i="67"/>
  <c r="A22" i="67"/>
  <c r="A19" i="67"/>
  <c r="A16" i="67"/>
  <c r="J10" i="67"/>
  <c r="L50" i="67"/>
  <c r="B49" i="67"/>
  <c r="M11" i="63"/>
  <c r="M9" i="63"/>
  <c r="M51" i="63" s="1"/>
  <c r="M10" i="63"/>
  <c r="M8" i="63"/>
  <c r="M50" i="63" s="1"/>
  <c r="D9" i="63"/>
  <c r="D10" i="63"/>
  <c r="D12" i="63"/>
  <c r="D8" i="63"/>
  <c r="O34" i="63"/>
  <c r="P34" i="63"/>
  <c r="Q34" i="63"/>
  <c r="P33" i="63"/>
  <c r="Q33" i="63"/>
  <c r="O33" i="63"/>
  <c r="N34" i="63"/>
  <c r="N33" i="63"/>
  <c r="J34" i="63"/>
  <c r="J33" i="63"/>
  <c r="I34" i="63"/>
  <c r="I33" i="63"/>
  <c r="E34" i="63"/>
  <c r="E41" i="63"/>
  <c r="E33" i="63"/>
  <c r="B34" i="63"/>
  <c r="B41" i="63"/>
  <c r="N17" i="63"/>
  <c r="O17" i="63"/>
  <c r="P17" i="63"/>
  <c r="Q17" i="63"/>
  <c r="N18" i="63"/>
  <c r="O18" i="63"/>
  <c r="P18" i="63"/>
  <c r="Q18" i="63"/>
  <c r="N19" i="63"/>
  <c r="O19" i="63"/>
  <c r="P19" i="63"/>
  <c r="Q19" i="63"/>
  <c r="N20" i="63"/>
  <c r="O20" i="63"/>
  <c r="P20" i="63"/>
  <c r="Q20" i="63"/>
  <c r="N21" i="63"/>
  <c r="O21" i="63"/>
  <c r="P21" i="63"/>
  <c r="Q21" i="63"/>
  <c r="N22" i="63"/>
  <c r="O22" i="63"/>
  <c r="P22" i="63"/>
  <c r="Q22" i="63"/>
  <c r="N23" i="63"/>
  <c r="O23" i="63"/>
  <c r="P23" i="63"/>
  <c r="Q23" i="63"/>
  <c r="N24" i="63"/>
  <c r="O24" i="63"/>
  <c r="P24" i="63"/>
  <c r="Q24" i="63"/>
  <c r="N25" i="63"/>
  <c r="O25" i="63"/>
  <c r="P25" i="63"/>
  <c r="Q25" i="63"/>
  <c r="N26" i="63"/>
  <c r="O26" i="63"/>
  <c r="P26" i="63"/>
  <c r="Q26" i="63"/>
  <c r="N27" i="63"/>
  <c r="O27" i="63"/>
  <c r="P27" i="63"/>
  <c r="Q27" i="63"/>
  <c r="N28" i="63"/>
  <c r="O28" i="63"/>
  <c r="P28" i="63"/>
  <c r="Q28" i="63"/>
  <c r="N29" i="63"/>
  <c r="O29" i="63"/>
  <c r="P29" i="63"/>
  <c r="Q29" i="63"/>
  <c r="N30" i="63"/>
  <c r="O30" i="63"/>
  <c r="P30" i="63"/>
  <c r="Q30" i="63"/>
  <c r="O16" i="63"/>
  <c r="P16" i="63"/>
  <c r="Q16" i="63"/>
  <c r="N16" i="63"/>
  <c r="J17" i="63"/>
  <c r="J18" i="63"/>
  <c r="J19" i="63"/>
  <c r="J20" i="63"/>
  <c r="J21" i="63"/>
  <c r="J22" i="63"/>
  <c r="J23" i="63"/>
  <c r="J24" i="63"/>
  <c r="J25" i="63"/>
  <c r="J26" i="63"/>
  <c r="J27" i="63"/>
  <c r="J28" i="63"/>
  <c r="J29" i="63"/>
  <c r="J30" i="63"/>
  <c r="J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16" i="63"/>
  <c r="K11" i="62"/>
  <c r="K9" i="62"/>
  <c r="K10" i="62"/>
  <c r="K8" i="62"/>
  <c r="G9" i="62"/>
  <c r="G10" i="62"/>
  <c r="G12" i="62"/>
  <c r="G8" i="62"/>
  <c r="H23" i="62"/>
  <c r="H16" i="31"/>
  <c r="N11" i="61"/>
  <c r="N9" i="61"/>
  <c r="N10" i="61"/>
  <c r="N8" i="61"/>
  <c r="H9" i="61"/>
  <c r="H10" i="61"/>
  <c r="H12" i="61"/>
  <c r="H8" i="61"/>
  <c r="D5" i="60"/>
  <c r="D4" i="7"/>
  <c r="D3" i="7"/>
  <c r="D13" i="66"/>
  <c r="J20" i="66"/>
  <c r="J19" i="57" s="1"/>
  <c r="J9" i="66"/>
  <c r="J27" i="66" s="1"/>
  <c r="J10" i="66"/>
  <c r="J12" i="66"/>
  <c r="J8" i="66"/>
  <c r="D9" i="66"/>
  <c r="D9" i="57" s="1"/>
  <c r="D10" i="66"/>
  <c r="D10" i="57" s="1"/>
  <c r="D8" i="66"/>
  <c r="J5" i="66"/>
  <c r="D5" i="66"/>
  <c r="J26" i="66"/>
  <c r="H11" i="7"/>
  <c r="H16" i="7"/>
  <c r="H15" i="7"/>
  <c r="B9" i="7"/>
  <c r="R36" i="33"/>
  <c r="Q35" i="33"/>
  <c r="Q4" i="33"/>
  <c r="Q3" i="33"/>
  <c r="D16" i="10"/>
  <c r="D17" i="10"/>
  <c r="D19" i="10"/>
  <c r="D15" i="10"/>
  <c r="B27" i="66" l="1"/>
  <c r="B26" i="66"/>
  <c r="D8" i="57"/>
  <c r="J9" i="69"/>
  <c r="J29" i="69" s="1"/>
  <c r="G8" i="25"/>
  <c r="G6" i="24"/>
  <c r="J29" i="68"/>
  <c r="C11" i="25"/>
  <c r="D12" i="69"/>
  <c r="C9" i="24"/>
  <c r="J8" i="69"/>
  <c r="J28" i="69" s="1"/>
  <c r="G7" i="25"/>
  <c r="G5" i="24"/>
  <c r="J28" i="68"/>
  <c r="J11" i="69"/>
  <c r="G10" i="25"/>
  <c r="G8" i="24"/>
  <c r="G9" i="25"/>
  <c r="J10" i="69"/>
  <c r="G7" i="24"/>
  <c r="C9" i="25"/>
  <c r="D10" i="69"/>
  <c r="C7" i="24"/>
  <c r="D9" i="69"/>
  <c r="B29" i="69" s="1"/>
  <c r="C8" i="25"/>
  <c r="C6" i="24"/>
  <c r="B29" i="68"/>
  <c r="C7" i="25"/>
  <c r="D8" i="69"/>
  <c r="B28" i="69" s="1"/>
  <c r="C5" i="24"/>
  <c r="B28" i="68"/>
  <c r="H20" i="65"/>
  <c r="H16" i="68" s="1"/>
  <c r="J30" i="65"/>
  <c r="J29" i="65"/>
  <c r="Q35" i="64"/>
  <c r="N35" i="64"/>
  <c r="S35" i="64"/>
  <c r="N34" i="64"/>
  <c r="Q34" i="64"/>
  <c r="S34" i="64" s="1"/>
  <c r="U34" i="64" s="1"/>
  <c r="W34" i="64" s="1"/>
  <c r="X34" i="64" s="1"/>
  <c r="B34" i="64"/>
  <c r="A29" i="64"/>
  <c r="N28" i="64"/>
  <c r="N27" i="64"/>
  <c r="N26" i="64"/>
  <c r="N25" i="64"/>
  <c r="Q25" i="64"/>
  <c r="S25" i="64" s="1"/>
  <c r="Q24" i="64"/>
  <c r="N24" i="64"/>
  <c r="N23" i="64"/>
  <c r="Q23" i="64"/>
  <c r="S23" i="64" s="1"/>
  <c r="A23" i="64"/>
  <c r="N22" i="64"/>
  <c r="Q22" i="64"/>
  <c r="S22" i="64" s="1"/>
  <c r="Q21" i="64"/>
  <c r="S21" i="64" s="1"/>
  <c r="N21" i="64"/>
  <c r="N20" i="64"/>
  <c r="Q20" i="64"/>
  <c r="S20" i="64" s="1"/>
  <c r="U20" i="64" s="1"/>
  <c r="W20" i="64" s="1"/>
  <c r="A20" i="64"/>
  <c r="N19" i="64"/>
  <c r="Q19" i="64"/>
  <c r="S19" i="64" s="1"/>
  <c r="Q18" i="64"/>
  <c r="N18" i="64"/>
  <c r="N17" i="64"/>
  <c r="Q17" i="64"/>
  <c r="S17" i="64" s="1"/>
  <c r="A17" i="64"/>
  <c r="Q55" i="64"/>
  <c r="Q54" i="64"/>
  <c r="A33" i="63"/>
  <c r="A30" i="63"/>
  <c r="A29" i="63"/>
  <c r="A28" i="63"/>
  <c r="A25" i="63"/>
  <c r="A22" i="63"/>
  <c r="A19" i="63"/>
  <c r="A16" i="63"/>
  <c r="D23" i="62"/>
  <c r="D16" i="62"/>
  <c r="K35" i="62"/>
  <c r="K34" i="62"/>
  <c r="P51" i="61"/>
  <c r="F51" i="61"/>
  <c r="P50" i="61"/>
  <c r="F50" i="61"/>
  <c r="F4" i="40"/>
  <c r="F3" i="40"/>
  <c r="Q5" i="64" l="1"/>
  <c r="J5" i="65" s="1"/>
  <c r="J5" i="68" s="1"/>
  <c r="K5" i="62"/>
  <c r="H5" i="61"/>
  <c r="G5" i="62" s="1"/>
  <c r="D5" i="64"/>
  <c r="D5" i="65" s="1"/>
  <c r="D5" i="68" s="1"/>
  <c r="D5" i="69" s="1"/>
  <c r="D5" i="67"/>
  <c r="D5" i="63"/>
  <c r="W43" i="64"/>
  <c r="D29" i="58"/>
  <c r="E14" i="24"/>
  <c r="N5" i="61"/>
  <c r="M5" i="63"/>
  <c r="J5" i="60"/>
  <c r="S18" i="64"/>
  <c r="U17" i="64" s="1"/>
  <c r="W17" i="64" s="1"/>
  <c r="S24" i="64"/>
  <c r="U23" i="64" s="1"/>
  <c r="W23" i="64" s="1"/>
  <c r="F28" i="31"/>
  <c r="F29" i="31"/>
  <c r="X32" i="64" l="1"/>
  <c r="W32" i="64"/>
  <c r="J19" i="39"/>
  <c r="J20" i="39"/>
  <c r="J21" i="39"/>
  <c r="J22" i="39"/>
  <c r="J13" i="39"/>
  <c r="J14" i="39"/>
  <c r="J15" i="39"/>
  <c r="J16" i="39"/>
  <c r="J17" i="39"/>
  <c r="J18" i="39"/>
  <c r="L11" i="33"/>
  <c r="L12" i="33"/>
  <c r="L13" i="33"/>
  <c r="L14" i="33"/>
  <c r="L15" i="33"/>
  <c r="L16" i="33"/>
  <c r="L17" i="33"/>
  <c r="L18" i="33"/>
  <c r="L19" i="33"/>
  <c r="L20" i="33"/>
  <c r="L21" i="33"/>
  <c r="L10" i="33"/>
  <c r="G11" i="33"/>
  <c r="G12" i="33"/>
  <c r="G13" i="33"/>
  <c r="G14" i="33"/>
  <c r="G15" i="33"/>
  <c r="G16" i="33"/>
  <c r="G17" i="33"/>
  <c r="G18" i="33"/>
  <c r="G19" i="33"/>
  <c r="G20" i="33"/>
  <c r="G21" i="33"/>
  <c r="W44" i="64" l="1"/>
  <c r="H15" i="68" s="1"/>
  <c r="F4" i="25"/>
  <c r="C4" i="25"/>
  <c r="D22" i="58"/>
  <c r="D23" i="58"/>
  <c r="D24" i="58"/>
  <c r="D25" i="58"/>
  <c r="D21" i="58"/>
  <c r="D15" i="58"/>
  <c r="D16" i="58"/>
  <c r="D14" i="58"/>
  <c r="D8" i="58"/>
  <c r="D9" i="58"/>
  <c r="D11" i="58"/>
  <c r="D7" i="58"/>
  <c r="D4" i="58"/>
  <c r="D3" i="58"/>
  <c r="D48" i="58"/>
  <c r="D49" i="58"/>
  <c r="A49" i="58"/>
  <c r="A48" i="58"/>
  <c r="J9" i="57"/>
  <c r="J10" i="57"/>
  <c r="J12" i="57"/>
  <c r="J8" i="57"/>
  <c r="J26" i="57"/>
  <c r="B26" i="57"/>
  <c r="J25" i="57"/>
  <c r="B25" i="57"/>
  <c r="E13" i="24" l="1"/>
  <c r="E15" i="24" s="1"/>
  <c r="H17" i="68"/>
  <c r="D28" i="58"/>
  <c r="E14" i="37"/>
  <c r="E15" i="37"/>
  <c r="D30" i="58" l="1"/>
  <c r="H19" i="68"/>
  <c r="H17" i="69" s="1"/>
  <c r="D5" i="55"/>
  <c r="D32" i="58" l="1"/>
  <c r="D33" i="58" s="1"/>
  <c r="J81" i="55"/>
  <c r="B81" i="55"/>
  <c r="J80" i="55"/>
  <c r="B80" i="55"/>
  <c r="F20" i="31" l="1"/>
  <c r="F21" i="31"/>
  <c r="F22" i="31"/>
  <c r="F23" i="31"/>
  <c r="F24" i="31"/>
  <c r="F25" i="31"/>
  <c r="F26" i="31"/>
  <c r="F27" i="31"/>
  <c r="F30" i="31"/>
  <c r="F17" i="31"/>
  <c r="F18" i="31"/>
  <c r="F19" i="31"/>
  <c r="F16" i="31"/>
  <c r="E3" i="54"/>
  <c r="E5" i="54"/>
  <c r="K24" i="31"/>
  <c r="K25" i="31"/>
  <c r="K26" i="31"/>
  <c r="K27" i="31"/>
  <c r="K28" i="31"/>
  <c r="K29" i="31"/>
  <c r="K30" i="31"/>
  <c r="H24" i="31"/>
  <c r="H25" i="31"/>
  <c r="H26" i="31"/>
  <c r="H27" i="31"/>
  <c r="H28" i="31"/>
  <c r="H29" i="31"/>
  <c r="H30" i="31"/>
  <c r="K19" i="31"/>
  <c r="K20" i="31"/>
  <c r="K21" i="31"/>
  <c r="K22" i="31"/>
  <c r="E4" i="54"/>
  <c r="K18" i="31" l="1"/>
  <c r="K32" i="31" l="1"/>
  <c r="K33" i="31"/>
  <c r="K34" i="31"/>
  <c r="K35" i="31"/>
  <c r="K36" i="31"/>
  <c r="K37" i="31"/>
  <c r="K38" i="31"/>
  <c r="K39" i="31"/>
  <c r="K40" i="31"/>
  <c r="K41" i="31"/>
  <c r="K23" i="31"/>
  <c r="B19" i="48" l="1"/>
  <c r="E38" i="48"/>
  <c r="E39" i="48"/>
  <c r="E40" i="48"/>
  <c r="E41" i="48"/>
  <c r="E42" i="48"/>
  <c r="E43" i="48"/>
  <c r="E44" i="48"/>
  <c r="E45" i="48"/>
  <c r="E46" i="48"/>
  <c r="E47" i="48"/>
  <c r="E48" i="48"/>
  <c r="E49" i="48"/>
  <c r="C47" i="48"/>
  <c r="B47" i="48"/>
  <c r="C44" i="48"/>
  <c r="B44" i="48"/>
  <c r="C41" i="48"/>
  <c r="B41" i="48"/>
  <c r="C38" i="48"/>
  <c r="B38" i="48"/>
  <c r="C35" i="48"/>
  <c r="C32" i="48"/>
  <c r="C29" i="48"/>
  <c r="C26" i="48"/>
  <c r="B26" i="48"/>
  <c r="E19" i="48"/>
  <c r="E20" i="48"/>
  <c r="E21" i="48"/>
  <c r="E22" i="48"/>
  <c r="E23" i="48"/>
  <c r="E24" i="48"/>
  <c r="E17" i="48"/>
  <c r="E18" i="48"/>
  <c r="E16" i="48"/>
  <c r="C22" i="48"/>
  <c r="C19" i="48"/>
  <c r="C16" i="48"/>
  <c r="B16" i="48"/>
  <c r="J19" i="48" l="1"/>
  <c r="I8" i="48"/>
  <c r="I58" i="48" s="1"/>
  <c r="I9" i="48"/>
  <c r="I7" i="48"/>
  <c r="C8" i="48"/>
  <c r="C58" i="48" s="1"/>
  <c r="C9" i="48"/>
  <c r="C11" i="48"/>
  <c r="C7" i="48"/>
  <c r="G4" i="48"/>
  <c r="C3" i="48"/>
  <c r="H17" i="31"/>
  <c r="H18" i="31"/>
  <c r="H19" i="31"/>
  <c r="H20" i="31"/>
  <c r="H21" i="31"/>
  <c r="H22" i="31"/>
  <c r="H23" i="31"/>
  <c r="H5" i="31"/>
  <c r="C57" i="48" l="1"/>
  <c r="M47" i="48"/>
  <c r="K47" i="48"/>
  <c r="O47" i="48" s="1"/>
  <c r="J47" i="48"/>
  <c r="M44" i="48"/>
  <c r="K44" i="48"/>
  <c r="O44" i="48" s="1"/>
  <c r="J44" i="48"/>
  <c r="M41" i="48"/>
  <c r="K41" i="48"/>
  <c r="O41" i="48" s="1"/>
  <c r="J41" i="48"/>
  <c r="M38" i="48"/>
  <c r="K38" i="48"/>
  <c r="O38" i="48" s="1"/>
  <c r="J38" i="48"/>
  <c r="E37" i="48"/>
  <c r="E36" i="48"/>
  <c r="K35" i="48"/>
  <c r="O35" i="48" s="1"/>
  <c r="M35" i="48" s="1"/>
  <c r="J35" i="48"/>
  <c r="E35" i="48"/>
  <c r="E34" i="48"/>
  <c r="E33" i="48"/>
  <c r="K32" i="48"/>
  <c r="O32" i="48" s="1"/>
  <c r="M32" i="48" s="1"/>
  <c r="J32" i="48"/>
  <c r="E32" i="48"/>
  <c r="E31" i="48"/>
  <c r="E30" i="48"/>
  <c r="K29" i="48"/>
  <c r="O29" i="48" s="1"/>
  <c r="M29" i="48" s="1"/>
  <c r="J29" i="48"/>
  <c r="E29" i="48"/>
  <c r="E28" i="48"/>
  <c r="E27" i="48"/>
  <c r="K26" i="48"/>
  <c r="O26" i="48" s="1"/>
  <c r="M26" i="48" s="1"/>
  <c r="J26" i="48"/>
  <c r="E26" i="48"/>
  <c r="M22" i="48"/>
  <c r="K22" i="48"/>
  <c r="J22" i="48"/>
  <c r="M19" i="48"/>
  <c r="K19" i="48"/>
  <c r="F18" i="48"/>
  <c r="F17" i="48"/>
  <c r="M16" i="48"/>
  <c r="K16" i="48"/>
  <c r="J16" i="48"/>
  <c r="I57" i="48"/>
  <c r="M50" i="48" l="1"/>
  <c r="I6" i="31" l="1"/>
  <c r="K9" i="31"/>
  <c r="K10" i="31"/>
  <c r="K12" i="31"/>
  <c r="K8" i="31"/>
  <c r="H9" i="31"/>
  <c r="F41" i="31" s="1"/>
  <c r="H10" i="31"/>
  <c r="H8" i="31"/>
  <c r="F40" i="31" s="1"/>
  <c r="F16" i="40"/>
  <c r="F15" i="40"/>
  <c r="D17" i="71" s="1"/>
  <c r="H9" i="40"/>
  <c r="V12" i="54" s="1"/>
  <c r="F9" i="40"/>
  <c r="D10" i="71" s="1"/>
  <c r="Z5" i="40"/>
  <c r="AB5" i="40" s="1"/>
  <c r="Y5" i="40"/>
  <c r="X5" i="40"/>
  <c r="W5" i="40"/>
  <c r="V5" i="40"/>
  <c r="U5" i="40"/>
  <c r="T5" i="40"/>
  <c r="S5" i="40"/>
  <c r="E2" i="37"/>
  <c r="D5" i="57" s="1"/>
  <c r="E3" i="37"/>
  <c r="M32" i="39"/>
  <c r="G33" i="39"/>
  <c r="F32" i="39"/>
  <c r="N28" i="39"/>
  <c r="H11" i="33"/>
  <c r="I11" i="33"/>
  <c r="J11" i="33"/>
  <c r="K11" i="33"/>
  <c r="H12" i="33"/>
  <c r="I12" i="33"/>
  <c r="J12" i="33"/>
  <c r="K12" i="33"/>
  <c r="H13" i="33"/>
  <c r="I13" i="33"/>
  <c r="J13" i="33"/>
  <c r="K13" i="33"/>
  <c r="H14" i="33"/>
  <c r="I14" i="33"/>
  <c r="J14" i="33"/>
  <c r="K14" i="33"/>
  <c r="H15" i="33"/>
  <c r="I15" i="33"/>
  <c r="J15" i="33"/>
  <c r="K15" i="33"/>
  <c r="H16" i="33"/>
  <c r="I16" i="33"/>
  <c r="J16" i="33"/>
  <c r="K16" i="33"/>
  <c r="H17" i="33"/>
  <c r="I17" i="33"/>
  <c r="J17" i="33"/>
  <c r="K17" i="33"/>
  <c r="H18" i="33"/>
  <c r="I18" i="33"/>
  <c r="J18" i="33"/>
  <c r="K18" i="33"/>
  <c r="H19" i="33"/>
  <c r="I19" i="33"/>
  <c r="J19" i="33"/>
  <c r="K19" i="33"/>
  <c r="H20" i="33"/>
  <c r="I20" i="33"/>
  <c r="J20" i="33"/>
  <c r="K20" i="33"/>
  <c r="H21" i="33"/>
  <c r="I21" i="33"/>
  <c r="J21" i="33"/>
  <c r="K21" i="33"/>
  <c r="J10" i="33"/>
  <c r="K10" i="33"/>
  <c r="H10" i="33"/>
  <c r="I10" i="33"/>
  <c r="G10" i="33"/>
  <c r="I20" i="39"/>
  <c r="F19" i="33" s="1"/>
  <c r="M19" i="33" s="1"/>
  <c r="I21" i="39"/>
  <c r="F20" i="33" s="1"/>
  <c r="M20" i="33" s="1"/>
  <c r="I22" i="39"/>
  <c r="F21" i="33" s="1"/>
  <c r="M21" i="33" s="1"/>
  <c r="E22" i="39"/>
  <c r="B21" i="33" s="1"/>
  <c r="E21" i="39"/>
  <c r="B20" i="33" s="1"/>
  <c r="E20" i="39"/>
  <c r="B19" i="33" s="1"/>
  <c r="E19" i="39"/>
  <c r="B18" i="33" s="1"/>
  <c r="I13" i="39"/>
  <c r="F12" i="33" s="1"/>
  <c r="I14" i="39"/>
  <c r="F13" i="33" s="1"/>
  <c r="I15" i="39"/>
  <c r="F14" i="33" s="1"/>
  <c r="I16" i="39"/>
  <c r="F15" i="33" s="1"/>
  <c r="M15" i="33" s="1"/>
  <c r="I17" i="39"/>
  <c r="F16" i="33" s="1"/>
  <c r="M16" i="33" s="1"/>
  <c r="I18" i="39"/>
  <c r="F17" i="33" s="1"/>
  <c r="M17" i="33" s="1"/>
  <c r="E12" i="39"/>
  <c r="B11" i="33" s="1"/>
  <c r="E13" i="39"/>
  <c r="B12" i="33" s="1"/>
  <c r="E14" i="39"/>
  <c r="B13" i="33" s="1"/>
  <c r="E15" i="39"/>
  <c r="B14" i="33" s="1"/>
  <c r="E16" i="39"/>
  <c r="B15" i="33" s="1"/>
  <c r="E17" i="39"/>
  <c r="B16" i="33" s="1"/>
  <c r="E18" i="39"/>
  <c r="B17" i="33" s="1"/>
  <c r="E3" i="38"/>
  <c r="E4" i="38"/>
  <c r="E5" i="38"/>
  <c r="N5" i="39"/>
  <c r="M33" i="39" s="1"/>
  <c r="N6" i="39"/>
  <c r="N8" i="39"/>
  <c r="N4" i="39"/>
  <c r="H5" i="39"/>
  <c r="H6" i="39"/>
  <c r="H8" i="39"/>
  <c r="H4" i="39"/>
  <c r="D12" i="66" l="1"/>
  <c r="D12" i="57" s="1"/>
  <c r="D12" i="60"/>
  <c r="J12" i="67"/>
  <c r="K12" i="62"/>
  <c r="N12" i="61"/>
  <c r="Q12" i="64"/>
  <c r="J12" i="65" s="1"/>
  <c r="J12" i="68" s="1"/>
  <c r="M12" i="63"/>
  <c r="D18" i="58"/>
  <c r="I11" i="48"/>
  <c r="H12" i="31"/>
  <c r="B8" i="40"/>
  <c r="O9" i="40"/>
  <c r="A2" i="70"/>
  <c r="D11" i="64"/>
  <c r="D11" i="65" s="1"/>
  <c r="D11" i="68" s="1"/>
  <c r="D11" i="67"/>
  <c r="D11" i="63"/>
  <c r="G11" i="62"/>
  <c r="H11" i="61"/>
  <c r="F2" i="61"/>
  <c r="A2" i="25"/>
  <c r="D10" i="58"/>
  <c r="D17" i="58"/>
  <c r="V23" i="54"/>
  <c r="T21" i="54"/>
  <c r="T15" i="54"/>
  <c r="T17" i="54"/>
  <c r="T19" i="54"/>
  <c r="T18" i="54"/>
  <c r="T20" i="54"/>
  <c r="C10" i="48"/>
  <c r="I10" i="48"/>
  <c r="K11" i="31"/>
  <c r="H11" i="31"/>
  <c r="J12" i="69" l="1"/>
  <c r="G11" i="25"/>
  <c r="G9" i="24"/>
  <c r="D11" i="69"/>
  <c r="C10" i="25"/>
  <c r="C8" i="24"/>
  <c r="G8" i="37"/>
  <c r="V12" i="38" s="1"/>
  <c r="T21" i="38" s="1"/>
  <c r="E8" i="37"/>
  <c r="E11" i="39"/>
  <c r="B10" i="33" s="1"/>
  <c r="I19" i="39"/>
  <c r="F18" i="33" s="1"/>
  <c r="M18" i="33" s="1"/>
  <c r="Y4" i="37"/>
  <c r="AA4" i="37" s="1"/>
  <c r="X4" i="37"/>
  <c r="W4" i="37"/>
  <c r="V4" i="37"/>
  <c r="U4" i="37"/>
  <c r="T4" i="37"/>
  <c r="S4" i="37"/>
  <c r="R4" i="37"/>
  <c r="A4" i="33"/>
  <c r="S30" i="33"/>
  <c r="T11" i="33"/>
  <c r="O11" i="33"/>
  <c r="U11" i="33"/>
  <c r="X11" i="33"/>
  <c r="R11" i="33"/>
  <c r="O12" i="33"/>
  <c r="U12" i="33"/>
  <c r="Y12" i="33"/>
  <c r="R12" i="33"/>
  <c r="O13" i="33"/>
  <c r="U13" i="33"/>
  <c r="X13" i="33"/>
  <c r="R13" i="33"/>
  <c r="O14" i="33"/>
  <c r="U14" i="33"/>
  <c r="Y14" i="33"/>
  <c r="R14" i="33"/>
  <c r="T15" i="33"/>
  <c r="O15" i="33"/>
  <c r="U15" i="33"/>
  <c r="X15" i="33"/>
  <c r="R15" i="33"/>
  <c r="O16" i="33"/>
  <c r="U16" i="33"/>
  <c r="Y16" i="33"/>
  <c r="R16" i="33"/>
  <c r="T17" i="33"/>
  <c r="O17" i="33"/>
  <c r="U17" i="33"/>
  <c r="X17" i="33"/>
  <c r="O18" i="33"/>
  <c r="U18" i="33"/>
  <c r="Y18" i="33"/>
  <c r="R18" i="33"/>
  <c r="O19" i="33"/>
  <c r="U19" i="33"/>
  <c r="W19" i="33"/>
  <c r="R19" i="33"/>
  <c r="T20" i="33"/>
  <c r="O20" i="33"/>
  <c r="U20" i="33"/>
  <c r="V20" i="33"/>
  <c r="R20" i="33"/>
  <c r="O21" i="33"/>
  <c r="U21" i="33"/>
  <c r="W21" i="33"/>
  <c r="R21" i="33"/>
  <c r="Y10" i="33"/>
  <c r="R10" i="33"/>
  <c r="U10" i="33"/>
  <c r="O10" i="33"/>
  <c r="AB26" i="33"/>
  <c r="AB25" i="33"/>
  <c r="R17" i="33"/>
  <c r="B7" i="37" l="1"/>
  <c r="E6" i="38" s="1"/>
  <c r="T23" i="38" s="1"/>
  <c r="J11" i="66"/>
  <c r="D18" i="10"/>
  <c r="J11" i="57"/>
  <c r="N7" i="39"/>
  <c r="H7" i="39"/>
  <c r="T17" i="38"/>
  <c r="T15" i="38"/>
  <c r="T19" i="38"/>
  <c r="T16" i="38"/>
  <c r="T18" i="38"/>
  <c r="T20" i="38"/>
  <c r="T27" i="38"/>
  <c r="T26" i="38"/>
  <c r="T29" i="38" s="1"/>
  <c r="T22" i="38"/>
  <c r="T13" i="38"/>
  <c r="J11" i="39" s="1"/>
  <c r="T24" i="38"/>
  <c r="J12" i="39" s="1"/>
  <c r="T13" i="33"/>
  <c r="X21" i="33"/>
  <c r="X19" i="33"/>
  <c r="V21" i="33"/>
  <c r="V19" i="33"/>
  <c r="T21" i="33"/>
  <c r="Y20" i="33"/>
  <c r="Z20" i="33" s="1"/>
  <c r="AA20" i="33" s="1"/>
  <c r="AB20" i="33" s="1"/>
  <c r="W20" i="33"/>
  <c r="T19" i="33"/>
  <c r="Y21" i="33"/>
  <c r="X20" i="33"/>
  <c r="Y19" i="33"/>
  <c r="V10" i="33"/>
  <c r="V12" i="33"/>
  <c r="V14" i="33"/>
  <c r="V16" i="33"/>
  <c r="X18" i="33"/>
  <c r="X10" i="33"/>
  <c r="X12" i="33"/>
  <c r="X14" i="33"/>
  <c r="X16" i="33"/>
  <c r="V18" i="33"/>
  <c r="Z18" i="33" s="1"/>
  <c r="T10" i="33"/>
  <c r="W11" i="33"/>
  <c r="Y11" i="33"/>
  <c r="T12" i="33"/>
  <c r="W13" i="33"/>
  <c r="Y13" i="33"/>
  <c r="T14" i="33"/>
  <c r="W15" i="33"/>
  <c r="Y15" i="33"/>
  <c r="T16" i="33"/>
  <c r="W17" i="33"/>
  <c r="Y17" i="33"/>
  <c r="T18" i="33"/>
  <c r="W10" i="33"/>
  <c r="V11" i="33"/>
  <c r="W12" i="33"/>
  <c r="Z12" i="33" s="1"/>
  <c r="V13" i="33"/>
  <c r="Z13" i="33" s="1"/>
  <c r="W14" i="33"/>
  <c r="V15" i="33"/>
  <c r="W16" i="33"/>
  <c r="Z16" i="33" s="1"/>
  <c r="V17" i="33"/>
  <c r="W18" i="33"/>
  <c r="A2" i="24"/>
  <c r="Z17" i="33" l="1"/>
  <c r="AA17" i="33" s="1"/>
  <c r="AB17" i="33" s="1"/>
  <c r="U13" i="38"/>
  <c r="T25" i="38"/>
  <c r="T28" i="38" s="1"/>
  <c r="I12" i="39"/>
  <c r="F11" i="33" s="1"/>
  <c r="Z19" i="33"/>
  <c r="AA19" i="33" s="1"/>
  <c r="AB19" i="33" s="1"/>
  <c r="V21" i="38"/>
  <c r="V20" i="38"/>
  <c r="V19" i="38"/>
  <c r="V18" i="38"/>
  <c r="V17" i="38"/>
  <c r="V16" i="38"/>
  <c r="V15" i="38"/>
  <c r="T14" i="38"/>
  <c r="AA13" i="33"/>
  <c r="AB13" i="33" s="1"/>
  <c r="Z10" i="33"/>
  <c r="AA10" i="33" s="1"/>
  <c r="AB10" i="33" s="1"/>
  <c r="Z21" i="33"/>
  <c r="AA21" i="33" s="1"/>
  <c r="AB21" i="33" s="1"/>
  <c r="AA18" i="33"/>
  <c r="AB18" i="33" s="1"/>
  <c r="Z14" i="33"/>
  <c r="AA14" i="33" s="1"/>
  <c r="AB14" i="33" s="1"/>
  <c r="Z15" i="33"/>
  <c r="AA15" i="33" s="1"/>
  <c r="AB15" i="33" s="1"/>
  <c r="Z11" i="33"/>
  <c r="AA11" i="33" s="1"/>
  <c r="AB11" i="33" s="1"/>
  <c r="AA16" i="33"/>
  <c r="AB16" i="33" s="1"/>
  <c r="AA12" i="33"/>
  <c r="AB12" i="33" s="1"/>
  <c r="B27" i="24"/>
  <c r="B26" i="24"/>
  <c r="Z239" i="29"/>
  <c r="Z238" i="29"/>
  <c r="Z237" i="29"/>
  <c r="Z236" i="29"/>
  <c r="Z235" i="29"/>
  <c r="Z234" i="29"/>
  <c r="Z233" i="29"/>
  <c r="Z232" i="29"/>
  <c r="Z231" i="29"/>
  <c r="Z230" i="29"/>
  <c r="Z229" i="29"/>
  <c r="Z228" i="29"/>
  <c r="Z227" i="29"/>
  <c r="Z226" i="29"/>
  <c r="Z225" i="29"/>
  <c r="Z224" i="29"/>
  <c r="Z223" i="29"/>
  <c r="Z222" i="29"/>
  <c r="Z221" i="29"/>
  <c r="Z220" i="29"/>
  <c r="Z219" i="29"/>
  <c r="Z218" i="29"/>
  <c r="Z217" i="29"/>
  <c r="Z216" i="29"/>
  <c r="Z215" i="29"/>
  <c r="Z214" i="29"/>
  <c r="Z213" i="29"/>
  <c r="Z212" i="29"/>
  <c r="Z211" i="29"/>
  <c r="Z210" i="29"/>
  <c r="Z209" i="29"/>
  <c r="Z208" i="29"/>
  <c r="Z207" i="29"/>
  <c r="Z206" i="29"/>
  <c r="Z205" i="29"/>
  <c r="Z204" i="29"/>
  <c r="Z203" i="29"/>
  <c r="Z202" i="29"/>
  <c r="Z201" i="29"/>
  <c r="Z200" i="29"/>
  <c r="Z199" i="29"/>
  <c r="Z198" i="29"/>
  <c r="Z197" i="29"/>
  <c r="Z196" i="29"/>
  <c r="Z195" i="29"/>
  <c r="Z194" i="29"/>
  <c r="Z193" i="29"/>
  <c r="Z192" i="29"/>
  <c r="Z191" i="29"/>
  <c r="Z190" i="29"/>
  <c r="Z189" i="29"/>
  <c r="Z188" i="29"/>
  <c r="Z187" i="29"/>
  <c r="Z186" i="29"/>
  <c r="Z185" i="29"/>
  <c r="Z184" i="29"/>
  <c r="Z183" i="29"/>
  <c r="Z182" i="29"/>
  <c r="Z181" i="29"/>
  <c r="Z180" i="29"/>
  <c r="Z179" i="29"/>
  <c r="Z178" i="29"/>
  <c r="Z177" i="29"/>
  <c r="Z176" i="29"/>
  <c r="Z175" i="29"/>
  <c r="Z174" i="29"/>
  <c r="Z173" i="29"/>
  <c r="Z172" i="29"/>
  <c r="Z171" i="29"/>
  <c r="Z170" i="29"/>
  <c r="Z169" i="29"/>
  <c r="Z168" i="29"/>
  <c r="Z167" i="29"/>
  <c r="Z166" i="29"/>
  <c r="Z165" i="29"/>
  <c r="Z164" i="29"/>
  <c r="Z163" i="29"/>
  <c r="Z162" i="29"/>
  <c r="Z161" i="29"/>
  <c r="Z160" i="29"/>
  <c r="Z159" i="29"/>
  <c r="Z158" i="29"/>
  <c r="Z157" i="29"/>
  <c r="Z156" i="29"/>
  <c r="Z155" i="29"/>
  <c r="Z154" i="29"/>
  <c r="Z153" i="29"/>
  <c r="Z152" i="29"/>
  <c r="Z151" i="29"/>
  <c r="Z150" i="29"/>
  <c r="Z149" i="29"/>
  <c r="Z148" i="29"/>
  <c r="Z147" i="29"/>
  <c r="Z146" i="29"/>
  <c r="Z145" i="29"/>
  <c r="Z144" i="29"/>
  <c r="Z143" i="29"/>
  <c r="Z142" i="29"/>
  <c r="Z141" i="29"/>
  <c r="Z140" i="29"/>
  <c r="Z139" i="29"/>
  <c r="Z138" i="29"/>
  <c r="Z137" i="29"/>
  <c r="Z136" i="29"/>
  <c r="Z135" i="29"/>
  <c r="Z134" i="29"/>
  <c r="Z133" i="29"/>
  <c r="Z132" i="29"/>
  <c r="Z131" i="29"/>
  <c r="O131" i="29"/>
  <c r="Z130" i="29"/>
  <c r="O130" i="29"/>
  <c r="Z129" i="29"/>
  <c r="O129" i="29"/>
  <c r="Z128" i="29"/>
  <c r="O128" i="29"/>
  <c r="Z127" i="29"/>
  <c r="O127" i="29"/>
  <c r="Z126" i="29"/>
  <c r="O126" i="29"/>
  <c r="Z125" i="29"/>
  <c r="O125" i="29"/>
  <c r="Z124" i="29"/>
  <c r="O124" i="29"/>
  <c r="Z123" i="29"/>
  <c r="O123" i="29"/>
  <c r="Z122" i="29"/>
  <c r="O122" i="29"/>
  <c r="Z121" i="29"/>
  <c r="O121" i="29"/>
  <c r="Z120" i="29"/>
  <c r="O120" i="29"/>
  <c r="Z119" i="29"/>
  <c r="O119" i="29"/>
  <c r="Z118" i="29"/>
  <c r="O118" i="29"/>
  <c r="Z117" i="29"/>
  <c r="O117" i="29"/>
  <c r="Z116" i="29"/>
  <c r="O116" i="29"/>
  <c r="Z115" i="29"/>
  <c r="O115" i="29"/>
  <c r="Z114" i="29"/>
  <c r="O114" i="29"/>
  <c r="Z113" i="29"/>
  <c r="O113" i="29"/>
  <c r="Z112" i="29"/>
  <c r="O112" i="29"/>
  <c r="Z111" i="29"/>
  <c r="O111" i="29"/>
  <c r="Z110" i="29"/>
  <c r="O110" i="29"/>
  <c r="Z109" i="29"/>
  <c r="Z108" i="29"/>
  <c r="Z107" i="29"/>
  <c r="Z106" i="29"/>
  <c r="Z105" i="29"/>
  <c r="Z104" i="29"/>
  <c r="Z103" i="29"/>
  <c r="Z102" i="29"/>
  <c r="Z101" i="29"/>
  <c r="Z100" i="29"/>
  <c r="Z99" i="29"/>
  <c r="F99" i="29"/>
  <c r="Z98" i="29"/>
  <c r="F98" i="29"/>
  <c r="Z97" i="29"/>
  <c r="F97" i="29"/>
  <c r="Z96" i="29"/>
  <c r="F96" i="29"/>
  <c r="Z95" i="29"/>
  <c r="F95" i="29"/>
  <c r="Z94" i="29"/>
  <c r="F94" i="29"/>
  <c r="Z93" i="29"/>
  <c r="F93" i="29"/>
  <c r="Z92" i="29"/>
  <c r="F92" i="29"/>
  <c r="Z91" i="29"/>
  <c r="F91" i="29"/>
  <c r="Z90" i="29"/>
  <c r="F90" i="29"/>
  <c r="Z89" i="29"/>
  <c r="F89" i="29"/>
  <c r="Z88" i="29"/>
  <c r="F88" i="29"/>
  <c r="Z87" i="29"/>
  <c r="F87" i="29"/>
  <c r="Z86" i="29"/>
  <c r="F86" i="29"/>
  <c r="Z85" i="29"/>
  <c r="F85" i="29"/>
  <c r="Z84" i="29"/>
  <c r="F84" i="29"/>
  <c r="Z83" i="29"/>
  <c r="F83" i="29"/>
  <c r="Z82" i="29"/>
  <c r="F82" i="29"/>
  <c r="Z81" i="29"/>
  <c r="F81" i="29"/>
  <c r="Z80" i="29"/>
  <c r="F80" i="29"/>
  <c r="Z79" i="29"/>
  <c r="F79" i="29"/>
  <c r="Z78" i="29"/>
  <c r="F78" i="29"/>
  <c r="Z77" i="29"/>
  <c r="F77" i="29"/>
  <c r="Z76" i="29"/>
  <c r="F76" i="29"/>
  <c r="Z75" i="29"/>
  <c r="F75" i="29"/>
  <c r="Z74" i="29"/>
  <c r="F74" i="29"/>
  <c r="Z73" i="29"/>
  <c r="F73" i="29"/>
  <c r="Z72" i="29"/>
  <c r="F72" i="29"/>
  <c r="Z71" i="29"/>
  <c r="F71" i="29"/>
  <c r="Z70" i="29"/>
  <c r="F70" i="29"/>
  <c r="Z69" i="29"/>
  <c r="F69" i="29"/>
  <c r="Z68" i="29"/>
  <c r="F68" i="29"/>
  <c r="Z67" i="29"/>
  <c r="F67" i="29"/>
  <c r="Z66" i="29"/>
  <c r="F66" i="29"/>
  <c r="Z65" i="29"/>
  <c r="F65" i="29"/>
  <c r="Z64" i="29"/>
  <c r="F64" i="29"/>
  <c r="Z63" i="29"/>
  <c r="F63" i="29"/>
  <c r="Z62" i="29"/>
  <c r="F62" i="29"/>
  <c r="Z61" i="29"/>
  <c r="F61" i="29"/>
  <c r="Z60" i="29"/>
  <c r="F60" i="29"/>
  <c r="Z59" i="29"/>
  <c r="F59" i="29"/>
  <c r="Z58" i="29"/>
  <c r="F58" i="29"/>
  <c r="Z57" i="29"/>
  <c r="F57" i="29"/>
  <c r="Z56" i="29"/>
  <c r="F56" i="29"/>
  <c r="Z55" i="29"/>
  <c r="F55" i="29"/>
  <c r="Z54" i="29"/>
  <c r="F54" i="29"/>
  <c r="Z53" i="29"/>
  <c r="F53" i="29"/>
  <c r="Z52" i="29"/>
  <c r="F52" i="29"/>
  <c r="Z51" i="29"/>
  <c r="F51" i="29"/>
  <c r="Z50" i="29"/>
  <c r="Z49" i="29"/>
  <c r="Z48" i="29"/>
  <c r="Z47" i="29"/>
  <c r="Z46" i="29"/>
  <c r="Z45" i="29"/>
  <c r="Z44" i="29"/>
  <c r="Z43" i="29"/>
  <c r="Z42" i="29"/>
  <c r="Z41" i="29"/>
  <c r="Z40" i="29"/>
  <c r="Z39" i="29"/>
  <c r="Z38" i="29"/>
  <c r="Z37" i="29"/>
  <c r="Z36" i="29"/>
  <c r="Z35" i="29"/>
  <c r="Z34" i="29"/>
  <c r="Z33" i="29"/>
  <c r="Z32" i="29"/>
  <c r="Z31" i="29"/>
  <c r="Z30" i="29"/>
  <c r="Z29" i="29"/>
  <c r="Z28" i="29"/>
  <c r="Z27" i="29"/>
  <c r="Z26" i="29"/>
  <c r="Z25" i="29"/>
  <c r="Z24" i="29"/>
  <c r="Z23" i="29"/>
  <c r="Z22" i="29"/>
  <c r="Z21" i="29"/>
  <c r="Z20" i="29"/>
  <c r="Z19" i="29"/>
  <c r="Z18" i="29"/>
  <c r="Z17" i="29"/>
  <c r="Z16" i="29"/>
  <c r="Z15" i="29"/>
  <c r="Z14" i="29"/>
  <c r="Z13" i="29"/>
  <c r="Z12" i="29"/>
  <c r="Z11" i="29"/>
  <c r="Z10" i="29"/>
  <c r="Z9" i="29"/>
  <c r="Z8" i="29"/>
  <c r="Z7" i="29"/>
  <c r="Z6" i="29"/>
  <c r="Z5" i="29"/>
  <c r="Z4" i="29"/>
  <c r="AH3" i="29"/>
  <c r="AI3" i="29" s="1"/>
  <c r="Z3" i="29"/>
  <c r="I3" i="29"/>
  <c r="AH2" i="29"/>
  <c r="Z2" i="29"/>
  <c r="I2" i="29"/>
  <c r="AH1" i="29"/>
  <c r="AI1" i="29" s="1"/>
  <c r="Z1" i="29"/>
  <c r="C13" i="25"/>
  <c r="F22" i="25" s="1"/>
  <c r="B29" i="25"/>
  <c r="B28" i="25"/>
  <c r="F20" i="24"/>
  <c r="C11" i="24"/>
  <c r="D9" i="7"/>
  <c r="J5" i="57"/>
  <c r="A23" i="10"/>
  <c r="J5" i="55" l="1"/>
  <c r="I11" i="39"/>
  <c r="F10" i="33" s="1"/>
  <c r="U14" i="38"/>
  <c r="AB27" i="33"/>
  <c r="AB22" i="33"/>
  <c r="AB23" i="33"/>
  <c r="AI2" i="29"/>
  <c r="F29" i="25"/>
  <c r="F28" i="25"/>
  <c r="F27" i="24"/>
  <c r="F26" i="24"/>
  <c r="I23" i="39" l="1"/>
  <c r="J23" i="39"/>
  <c r="AB28" i="33"/>
  <c r="G9" i="7"/>
  <c r="H15" i="66" s="1"/>
  <c r="F18" i="7"/>
  <c r="G19" i="7" s="1"/>
  <c r="H16" i="66" s="1"/>
  <c r="H15" i="57" s="1"/>
  <c r="H14" i="57" l="1"/>
  <c r="H17" i="66"/>
  <c r="L15" i="57"/>
  <c r="D29" i="71" s="1"/>
  <c r="E16" i="25" l="1"/>
  <c r="N8" i="25"/>
  <c r="E17" i="24"/>
  <c r="L14" i="57"/>
  <c r="D28" i="71" s="1"/>
  <c r="H16" i="57"/>
  <c r="L16" i="57" s="1"/>
  <c r="H16" i="69" l="1"/>
  <c r="H18" i="69" s="1"/>
  <c r="H19" i="69" s="1"/>
  <c r="D30" i="71"/>
  <c r="D32" i="71" s="1"/>
  <c r="D33" i="71" s="1"/>
  <c r="E18" i="25"/>
  <c r="N9" i="25"/>
  <c r="N10" i="25" s="1"/>
  <c r="E17" i="25"/>
  <c r="E19" i="25" l="1"/>
  <c r="C21" i="25" s="1"/>
  <c r="B21" i="25" l="1"/>
  <c r="D21" i="25" s="1"/>
  <c r="E20" i="25" s="1"/>
  <c r="M22" i="33"/>
  <c r="F22" i="33"/>
  <c r="T16" i="54" l="1"/>
  <c r="M9" i="40" l="1"/>
  <c r="U8" i="40"/>
  <c r="L9" i="40" s="1"/>
  <c r="E6" i="54"/>
  <c r="N9" i="40" l="1"/>
  <c r="T23" i="54"/>
  <c r="T13" i="54"/>
  <c r="T22" i="54"/>
  <c r="T24" i="54"/>
  <c r="L18" i="62" s="1"/>
  <c r="N18" i="62" s="1"/>
  <c r="T25" i="54" l="1"/>
  <c r="T28" i="54" s="1"/>
  <c r="T14" i="54"/>
  <c r="L16" i="62"/>
  <c r="N16" i="62" s="1"/>
  <c r="L26" i="62" s="1"/>
  <c r="V19" i="54"/>
  <c r="V15" i="54"/>
  <c r="K16" i="31"/>
  <c r="V22" i="54"/>
  <c r="V18" i="54"/>
  <c r="V20" i="54"/>
  <c r="V16" i="54"/>
  <c r="V17" i="54"/>
  <c r="V21" i="54"/>
  <c r="T26" i="54"/>
  <c r="T29" i="54" s="1"/>
  <c r="T27" i="54"/>
  <c r="K17" i="31"/>
  <c r="D34" i="58" l="1"/>
  <c r="D34" i="71"/>
  <c r="K31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M10" authorId="0" shapeId="0" xr:uid="{0FD57FBB-3559-41D9-B495-9A2E00E0ACEF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dinilai 0 karena masuk pula di SKP Juli-Desember 2021
</t>
        </r>
      </text>
    </comment>
    <comment ref="M11" authorId="0" shapeId="0" xr:uid="{C2279C51-A7C1-4FF2-86F6-DBB30FBDE943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dinilai 0 karena masuk pula di SKP Juli-Desember 2021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H16" authorId="0" shapeId="0" xr:uid="{1B892615-8F90-4797-84AF-CF7DEB458FDC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K16" authorId="0" shapeId="0" xr:uid="{3BB1A116-5994-4EE8-ACE6-2CEB4737F343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DIISI MANUAL</t>
        </r>
      </text>
    </comment>
    <comment ref="L16" authorId="0" shapeId="0" xr:uid="{C87CF9F6-08D1-450E-ADE9-19A80E44CCC7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H17" authorId="0" shapeId="0" xr:uid="{BB4A1B36-0511-41B5-8D0F-856C6CACCD7C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K17" authorId="0" shapeId="0" xr:uid="{1B41C1F2-5C05-4BFA-B11C-8853502BF37F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ISI MANUAL</t>
        </r>
      </text>
    </comment>
    <comment ref="L17" authorId="0" shapeId="0" xr:uid="{CAD5E66B-F4BC-46CD-9527-0E964EAF2295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H18" authorId="0" shapeId="0" xr:uid="{AA937108-220D-4F7C-835A-5D37DC5F3101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L18" authorId="0" shapeId="0" xr:uid="{DE89BFD5-3B90-403B-8208-9BE952027CDB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H19" authorId="0" shapeId="0" xr:uid="{0C0858E1-3F89-4001-A348-24E169526B24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L19" authorId="0" shapeId="0" xr:uid="{2C10C18B-E50D-421F-8BE8-1B0878A5427E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H20" authorId="0" shapeId="0" xr:uid="{3FAF1A56-E465-48D6-9344-60DE38490B00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L20" authorId="0" shapeId="0" xr:uid="{23053EAF-1F5B-4506-9ACE-CEAE303BB858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L23" authorId="0" shapeId="0" xr:uid="{D8838DED-D809-4F27-89F8-179BAB64B361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L24" authorId="0" shapeId="0" xr:uid="{78AC565D-E616-4442-855F-375AAB787C8A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  <comment ref="L25" authorId="0" shapeId="0" xr:uid="{25B0B545-839A-4B2C-BEF2-DF45EA737FD2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TERISI OTOMATIS</t>
        </r>
      </text>
    </comment>
  </commentList>
</comments>
</file>

<file path=xl/sharedStrings.xml><?xml version="1.0" encoding="utf-8"?>
<sst xmlns="http://schemas.openxmlformats.org/spreadsheetml/2006/main" count="3500" uniqueCount="706">
  <si>
    <t>PEGAWAI NEGERI SIPIL</t>
  </si>
  <si>
    <t>NO</t>
  </si>
  <si>
    <t>Nama</t>
  </si>
  <si>
    <t>NIP</t>
  </si>
  <si>
    <t>Jabatan</t>
  </si>
  <si>
    <t>Unit Kerja</t>
  </si>
  <si>
    <t>Pangkat/Gol.Ruang</t>
  </si>
  <si>
    <t>TARGET</t>
  </si>
  <si>
    <t>WAKTU</t>
  </si>
  <si>
    <t>Pegawai Negeri Sipil Yang Dinilai</t>
  </si>
  <si>
    <t>REALISASI</t>
  </si>
  <si>
    <t>Waktu</t>
  </si>
  <si>
    <t>NILAI CAPAIAN SKP</t>
  </si>
  <si>
    <t>Pejabat Penilai,</t>
  </si>
  <si>
    <t>III. KEGIATAN TUGAS JABATAN</t>
  </si>
  <si>
    <t>-</t>
  </si>
  <si>
    <t>:</t>
  </si>
  <si>
    <t>Tugas tambahan:</t>
  </si>
  <si>
    <t>Kreativitas</t>
  </si>
  <si>
    <t>II. Tugas tambahan dan Kreativitas</t>
  </si>
  <si>
    <t>1.</t>
  </si>
  <si>
    <t>2.</t>
  </si>
  <si>
    <t>No</t>
  </si>
  <si>
    <t>a.</t>
  </si>
  <si>
    <t>JUMLAH</t>
  </si>
  <si>
    <t>BUKU CATATAN PENILAIAN PERILAKU PNS</t>
  </si>
  <si>
    <t>Uraian</t>
  </si>
  <si>
    <t>Orientasi Pelayanan</t>
  </si>
  <si>
    <t>=</t>
  </si>
  <si>
    <t>Integritas</t>
  </si>
  <si>
    <t>Komitmen</t>
  </si>
  <si>
    <t>Disiplin</t>
  </si>
  <si>
    <t>Kerjasama</t>
  </si>
  <si>
    <t>Kepemimpinan</t>
  </si>
  <si>
    <t>Jumlah</t>
  </si>
  <si>
    <t>Nilai Rata-rata</t>
  </si>
  <si>
    <t>PENILAIAN PRESTASI KERJA</t>
  </si>
  <si>
    <t>JANGKA WAKTU PENILAIAN</t>
  </si>
  <si>
    <t>YANG DINILAI</t>
  </si>
  <si>
    <t>b.</t>
  </si>
  <si>
    <t>c.</t>
  </si>
  <si>
    <t>d.</t>
  </si>
  <si>
    <t>Jabatan/Pekerjaan</t>
  </si>
  <si>
    <t>e.</t>
  </si>
  <si>
    <t>Unit Organisasi</t>
  </si>
  <si>
    <t>PEJABAT PENILAI</t>
  </si>
  <si>
    <t>3.</t>
  </si>
  <si>
    <t>ATASAN PEJABAT PENILAI</t>
  </si>
  <si>
    <t>4.</t>
  </si>
  <si>
    <t>UNSUR YANG DINILAI</t>
  </si>
  <si>
    <t>5.</t>
  </si>
  <si>
    <t>REKOMENDASI</t>
  </si>
  <si>
    <t>Nama Pegawai</t>
  </si>
  <si>
    <t>Pangkat Golongan Ruang</t>
  </si>
  <si>
    <t>DATA SASARAN KERJA PEGAWAI</t>
  </si>
  <si>
    <t>UNIT KERJA</t>
  </si>
  <si>
    <t xml:space="preserve"> =</t>
  </si>
  <si>
    <t>Nama/ NIP dan Paraf                       Pejabat Penilai</t>
  </si>
  <si>
    <t>Kepala Madrasah</t>
  </si>
  <si>
    <t>bln</t>
  </si>
  <si>
    <t xml:space="preserve"> </t>
  </si>
  <si>
    <t>KUANT/ OUTPUT</t>
  </si>
  <si>
    <t>MTsN 5 Sleman</t>
  </si>
  <si>
    <t>Sedangkan Penilaian Perilaku kerjanya adalah sebagai berikut</t>
  </si>
  <si>
    <t>Pembina / IVa</t>
  </si>
  <si>
    <t>Tanggal Penilaian</t>
  </si>
  <si>
    <t>NILAI</t>
  </si>
  <si>
    <t xml:space="preserve">NILAI PRESTASI KERJA 
(60% Nilai SKP dan 40% Nilai Perilaku Kerja) PNS
</t>
  </si>
  <si>
    <t>Sasaran Kinerja Pegawai (SKP)</t>
  </si>
  <si>
    <t>Prilaku Kerja Pegawai</t>
  </si>
  <si>
    <t xml:space="preserve">PREDIKAT
</t>
  </si>
  <si>
    <t>INTEGRASI HASIL PENILAIAN KINERJA PNS TAHUN 2021</t>
  </si>
  <si>
    <t>PERIODE</t>
  </si>
  <si>
    <t>NILAI KINERJA PNS</t>
  </si>
  <si>
    <t>Tanggal Integrasi Kerja
Penilaian</t>
  </si>
  <si>
    <t>TANGGAL PERIODE SKP</t>
  </si>
  <si>
    <t>TANGGAL PENILAIAN SKP JAN-JUN</t>
  </si>
  <si>
    <t>TANGGAL PENILAIAN SKP JULI-DES</t>
  </si>
  <si>
    <t>TAHUN PENILAIAN SKP</t>
  </si>
  <si>
    <t>PERIODE  PENILAIAN SKP 1</t>
  </si>
  <si>
    <t>PERIODE  PENILAIAN SKP 2</t>
  </si>
  <si>
    <t>TANGGAL RENCANA SKP 1</t>
  </si>
  <si>
    <t>TANGGAL RENCANA SKP 2</t>
  </si>
  <si>
    <t>Ide Baru</t>
  </si>
  <si>
    <t xml:space="preserve">NILAI AKHIR
(Nilai Kinerja PNS + Nilai Ide Baru PNS)
</t>
  </si>
  <si>
    <t>PEGAWAI YANG DINILAI</t>
  </si>
  <si>
    <t>PEJABAT PENILAI KINERJA</t>
  </si>
  <si>
    <t>`</t>
  </si>
  <si>
    <t>predikat</t>
  </si>
  <si>
    <t>Sangat Kurang</t>
  </si>
  <si>
    <t>tidak ada</t>
  </si>
  <si>
    <t>ada</t>
  </si>
  <si>
    <t>Baik</t>
  </si>
  <si>
    <t>Sangat Baik</t>
  </si>
  <si>
    <t>kurang</t>
  </si>
  <si>
    <t>cukup</t>
  </si>
  <si>
    <t>baik</t>
  </si>
  <si>
    <t>sangat baik</t>
  </si>
  <si>
    <t>Kurang</t>
  </si>
  <si>
    <t>Cukup</t>
  </si>
  <si>
    <t>PEGAWAI NEGERI SIPIL YANG DINILAI</t>
  </si>
  <si>
    <t xml:space="preserve">PENILAIAN KINERJA PNS </t>
  </si>
  <si>
    <t>Pegawai Negeri Sipil Yang Dinilai,</t>
  </si>
  <si>
    <t>SASARAN KERJA PEGAWAI</t>
  </si>
  <si>
    <t>1. PEJABAT PENILAI</t>
  </si>
  <si>
    <t>II. PNS YANG DINILAI</t>
  </si>
  <si>
    <t>Pangkat/Gol Ruang</t>
  </si>
  <si>
    <t>AK</t>
  </si>
  <si>
    <t>KUANTITAS/ OUT PUT</t>
  </si>
  <si>
    <t>KUALITAS/ MUTU</t>
  </si>
  <si>
    <t>BIAYA (Rp)</t>
  </si>
  <si>
    <t>I. Tugas Utama</t>
  </si>
  <si>
    <t>05</t>
  </si>
  <si>
    <t>Laporan</t>
  </si>
  <si>
    <t>00</t>
  </si>
  <si>
    <t>14</t>
  </si>
  <si>
    <t>SK</t>
  </si>
  <si>
    <t>27</t>
  </si>
  <si>
    <t>Sertifikat</t>
  </si>
  <si>
    <t>06</t>
  </si>
  <si>
    <t>28</t>
  </si>
  <si>
    <t>07</t>
  </si>
  <si>
    <t>47</t>
  </si>
  <si>
    <t>08</t>
  </si>
  <si>
    <t>59</t>
  </si>
  <si>
    <t>09</t>
  </si>
  <si>
    <t>67</t>
  </si>
  <si>
    <t>10</t>
  </si>
  <si>
    <t>71</t>
  </si>
  <si>
    <t>11.a</t>
  </si>
  <si>
    <t>11.b</t>
  </si>
  <si>
    <t>11.c</t>
  </si>
  <si>
    <t>Jumlah Angka Kredit</t>
  </si>
  <si>
    <t>12</t>
  </si>
  <si>
    <t>13</t>
  </si>
  <si>
    <t xml:space="preserve">Sleman, </t>
  </si>
  <si>
    <t>Kepala,</t>
  </si>
  <si>
    <t>PNS Yang Dinilai</t>
  </si>
  <si>
    <t>15</t>
  </si>
  <si>
    <t>15.a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</si>
  <si>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</si>
  <si>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</si>
  <si>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</si>
  <si>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</si>
  <si>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</si>
  <si>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</si>
  <si>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</si>
  <si>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</si>
  <si>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</si>
  <si>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</si>
  <si>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</si>
  <si>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</si>
  <si>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</si>
  <si>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</si>
  <si>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</si>
  <si>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</si>
  <si>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</si>
  <si>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</si>
  <si>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</si>
  <si>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</si>
  <si>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</si>
  <si>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</si>
  <si>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</si>
  <si>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</si>
  <si>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</si>
  <si>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</si>
  <si>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</si>
  <si>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</si>
  <si>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</si>
  <si>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</si>
  <si>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</si>
  <si>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</si>
  <si>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</si>
  <si>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</si>
  <si>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</si>
  <si>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</si>
  <si>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</si>
  <si>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</si>
  <si>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</si>
  <si>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</si>
  <si>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</si>
  <si>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</si>
  <si>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</si>
  <si>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</si>
  <si>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</si>
  <si>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</si>
  <si>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</si>
  <si>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</si>
  <si>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</si>
  <si>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</si>
  <si>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72</t>
  </si>
  <si>
    <t>73</t>
  </si>
  <si>
    <t>74</t>
  </si>
  <si>
    <t>75</t>
  </si>
  <si>
    <t>76</t>
  </si>
  <si>
    <t>77</t>
  </si>
  <si>
    <t>78</t>
  </si>
  <si>
    <t>79</t>
  </si>
  <si>
    <t>Pangkat, Gol. Ruang</t>
  </si>
  <si>
    <t>BEBERAPA KEGIATAN GURU</t>
  </si>
  <si>
    <t>[Sesuai Permeneg PAN &amp; RB No. 16 Tahun 2009]</t>
  </si>
  <si>
    <t>Kode</t>
  </si>
  <si>
    <t>Kegiatan</t>
  </si>
  <si>
    <t>Guru</t>
  </si>
  <si>
    <t>Merencanakan dan melaksanakan pembelajaran, mengevaluasi dan menilai hasil pembelajaran, menganalisis hasil pembelajaran, melaksanakan tindak lanjut hasil penilaian. (05)</t>
  </si>
  <si>
    <t>Kepala Sekolah</t>
  </si>
  <si>
    <t>Merencanakan dan melaksanakan pembimbingan, mengevaluasi dan menilai hasil pembimbingan, menganalisis hasil pembimbingan, melaksanakan tindak lanjut hasil pembimbingan. (06)</t>
  </si>
  <si>
    <t>Menjadi Kepala Sekolah/Madrasah. (07)</t>
  </si>
  <si>
    <t>Ketua Program Keahlian</t>
  </si>
  <si>
    <t>Menjadi Wakil Kepala Sekolah/Madrasah. (08)</t>
  </si>
  <si>
    <t>Kepala Perpustakaan</t>
  </si>
  <si>
    <t>Menjadi ketua program keahlian/program studi atau yang sejenisnya. (09)</t>
  </si>
  <si>
    <t>Kepala Laboratorium</t>
  </si>
  <si>
    <t>Menjadi kepala perpustakaan. (10)</t>
  </si>
  <si>
    <t>Kepala Bengkel</t>
  </si>
  <si>
    <t>Kepala Laboratorium (11.a)</t>
  </si>
  <si>
    <t>Kepala Unit Produksi</t>
  </si>
  <si>
    <t>Kepala Bengkel (11.b)</t>
  </si>
  <si>
    <t>Kepala Unit Produksi. (11.c)</t>
  </si>
  <si>
    <t>Menjadi pembimbing khusus pada satuan pendidikan yang menyelenggarakan pendidikan inklusi, pendidikan terpadu atau yang sejenisnya. (12)</t>
  </si>
  <si>
    <t>Wali Kelas</t>
  </si>
  <si>
    <t>Menjadi wali kelas. (13)</t>
  </si>
  <si>
    <t>Menyusun kurikulum pada satuan pendidikannya. (14)</t>
  </si>
  <si>
    <t>Menjadi pengawas penilaian dan evaluasi terhadap  proses dan hasil belajar. (15)</t>
  </si>
  <si>
    <t>Membimbing guru pemula dalam program induksi. (15.a)</t>
  </si>
  <si>
    <t>Membimbing siswa dalam kegiatan ekstrakurikuler. (16)</t>
  </si>
  <si>
    <t>Menjadi pembimbing pada penyusunan publikasi ilmiah dan karya inovatif. (17)</t>
  </si>
  <si>
    <t>Melaksanakan pembimbingan pada kelas yang menjadi tanggungjawabnya (khusus Guru Kelas). (18)</t>
  </si>
  <si>
    <t>Mengikuti diklat fungsional, lamanya lebih dari 960 jam. (19)</t>
  </si>
  <si>
    <t>Mengikuti diklat fungsional, lamanya antara 641 s.d 960 jam. (20)</t>
  </si>
  <si>
    <t>Mengikuti diklat fungsional, lamanya antara 481 s.d 640 jam. (21)</t>
  </si>
  <si>
    <t>Mengikuti diklat fungsional, lamanya antara 181 s.d 480 jam. (22)</t>
  </si>
  <si>
    <t>Mengikuti diklat fungsional, lamanya antara 81 s.d 180 jam. (23)</t>
  </si>
  <si>
    <t>Mengikuti diklat fungsional, lamanya antara 30 s.d 80 jam. (24)</t>
  </si>
  <si>
    <t>Mengikuti lokakarya atau kegiatan bersama (seperti kelompok kerja guru) untuk penyusunan perangkat kurikulum dan atau pembelajaran. (25)</t>
  </si>
  <si>
    <t>Menjadi pembahas pada kegiatan ilmiah. (26)</t>
  </si>
  <si>
    <t>Menjadi peserta pada kegiatan ilmiah. (27)</t>
  </si>
  <si>
    <t>Kegiatan kolektif lainnya yang sesuai dengan tugas dan kewajiban guru. (28)</t>
  </si>
  <si>
    <t>Menjadi pemrasaran/nara sumber pada seminar atau lokakarya ilmiah. (29)</t>
  </si>
  <si>
    <t>Menjadi pemrasaran/nara sumber pada koloqium atau diskusi ilmiah. (30)</t>
  </si>
  <si>
    <t>Membuat karya tulis berupa laporan hasil penelitian pada bidang pendidikan di sekolahnya, diterbitkan/dipublikasikan dalam bentuk buku ber ISBN dan diedarkan secara nasional atau telah lulus dari penilaian BNSP. (31)</t>
  </si>
  <si>
    <t>Membuat karya tulis berupa laporan hasil penelitian pada bidang pendidikan di sekolahnya, diterbitkan/dipublikasikan dalam majalah/jurnal ilmiah tingkat nasional yang terakreditasi. (32)</t>
  </si>
  <si>
    <t>Membuat karya tulis berupa laporan hasil penelitian pada bidang pendidikan di sekolahnya, diterbitkan/dipublikasikan dalam majalah/jurnal ilmiah tingkat provinsi. (33)</t>
  </si>
  <si>
    <t>Membuat karya tulis berupa laporan hasil penelitian pada bidang pendidikan di sekolahnya, diterbitkan/dipublikasikan dalam majalah ilmiah tingkat kabupaten/ kota. (34)</t>
  </si>
  <si>
    <t>Membuat karya tulis berupa laporan hasil penelitian pada bidang pendidikan di sekolahnya, diseminarkan di sekolahnya, disimpan di perpustakaan. (35)</t>
  </si>
  <si>
    <t>Membuat makalah berupa tinjauan ilmiah dalam bidang pendidikan formal dan pembelajaran pada satuan pendidikannya, tidak diterbitkan,  disimpan di perpustakaan. (36)</t>
  </si>
  <si>
    <t>Membuat artikel ilmiah populer di bidang pendidikan formal dan pembelajaran pada satuan pendidikannya dimuat di media masa tingkat nasional. (37)</t>
  </si>
  <si>
    <t>Membuat artikel ilmiah populer di bidang pendidikan formal dan pembelajaran pada satuan pendidikannya dimuat di media masa tingkat provinsi (koran daerah). (38)</t>
  </si>
  <si>
    <t>Membuat artikel ilmiah dalam bidang pendidikan formal dan pembelajaran pada satuan pendidikannya dan dimuat di jurnal tingkat nasional yang terakreditasi. (39)</t>
  </si>
  <si>
    <t>Membuat artikel ilmiah dalam bidang pendidikan formal dan pembelajaran pada satuan pendidikannya dan dimuat di jurnal tingkat nasional yang tidak  terakreditasi/tingkat propvinsi. (40)</t>
  </si>
  <si>
    <t>Membuat artikel ilmiah dalam bidang pendidikan formal dan pembelajaran pada satuan pendidikannya dan dimuat di jurnal tingkat lokal (kabupaten/kota/ sekolah/madrasah dstnya). (41)</t>
  </si>
  <si>
    <t>Membuat buku  pelajaran/buku pendidikan yang lolos penilaian oleh BSNP. (42)</t>
  </si>
  <si>
    <t>Membuat buku pelajaran yang dicetak oleh penerbit dan ber-ISBN. (43)</t>
  </si>
  <si>
    <t>Membuat buku pelajaran dicetak oleh penerbit  tetapi belum ber-ISBN. (44)</t>
  </si>
  <si>
    <t>Membuat modul/diktat pelajaran yang digunakan di tingkat  Provinsi dengan pengesahan Dinas Pendidikan Provinsi. (45)</t>
  </si>
  <si>
    <t>Membuat modul/diktat pelajaran yang digunakan di tingkat kota/kabupaten dengan pengesahan Dinas Pendidikan Kota/Kabupaten. (46)</t>
  </si>
  <si>
    <t>Membuat modul/diktat pelajaran yang digunakan di tingkat sekolah/madrasah setempat. (47)</t>
  </si>
  <si>
    <t>Membuat buku dalam bidang pendidikan dan dicetak oleh penerbit dan ber-ISBN. (48)</t>
  </si>
  <si>
    <t>Membuat buku dalam bidang pendidikan dan dicetak oleh penerbit tetapi belum ber-ISBN. (49)</t>
  </si>
  <si>
    <t>Membuat karya hasil terjemahan yang dinyatakan oleh kepala sekolah/madrasah. (50)</t>
  </si>
  <si>
    <t>Membuat buku pedoman guru. (51)</t>
  </si>
  <si>
    <t>Menemukan teknologi tepatguna kategori kompleks. (52)</t>
  </si>
  <si>
    <t>Menemukan teknologi tepatguna kategori sederhana. (53)</t>
  </si>
  <si>
    <t>Menemukan/menciptakan karya seni kategori kompleks. (54)</t>
  </si>
  <si>
    <t>Menemukan/menciptakan karya seni kategori sederhana. (55)</t>
  </si>
  <si>
    <t>Membuat alat pelajaran kategori kompleks. (56)</t>
  </si>
  <si>
    <t>Membuat alat pelajaran kategori sederhana. (57)</t>
  </si>
  <si>
    <t>Membuat alat peraga kategori kompleks. (58)</t>
  </si>
  <si>
    <t>Membuat alat peraga kategori sederhana. (59)</t>
  </si>
  <si>
    <t>Membuat alat praktikum kategori kompleks. (60)</t>
  </si>
  <si>
    <t>Membuat alat praktikum kategori sederhana. (61)</t>
  </si>
  <si>
    <t>Mengikuti pengembangan penyusunan standar, pedoman, soal dan sejenisnya pada tingkat nasional. (62)</t>
  </si>
  <si>
    <t>Mengikuti pengembangan penyusunan standar, pedoman, soal dan sejenisnya pada tingkat provinsi. (63)</t>
  </si>
  <si>
    <t>Memperoleh gelar/ijazah doktor yang tidak sesuai dengan bidang yang diampu. (64)</t>
  </si>
  <si>
    <t>Memperoleh gelar/ijazah pasca sarjana (S2) yang tidak sesuai dengan bidang yang diampu. (65)</t>
  </si>
  <si>
    <t>Memperoleh gelar/ijazah sarjana (S-1) atau Diploma IV yang tidak sesuai dengan bidang yang diampu. (66)</t>
  </si>
  <si>
    <t>Membimbing siswa dalam praktik kerja nyata/praktik industri/ekstra kurkuler dan yang sejenisnya. (67)</t>
  </si>
  <si>
    <t>Menjadi pengawas ujian sekolah. (68)</t>
  </si>
  <si>
    <t>Menjadi pengawas ujian nasional. (69)</t>
  </si>
  <si>
    <t>Menjadi pengurus aktif organisasi profesi (PGRI, ABKIN dan sejenisnya). (70)</t>
  </si>
  <si>
    <t>Menjadi anggota aktif organisasi profesi (PGRI, ABKIN dan sejenisnya). (71)</t>
  </si>
  <si>
    <t>Menjadi pengurus aktif kegiatan kepramukaan. (72)</t>
  </si>
  <si>
    <t>Menjadi anggota aktif kegiatan kepramukaan. (73)</t>
  </si>
  <si>
    <t>Menjadi tim penilai anggka kredit. (74)</t>
  </si>
  <si>
    <t>Menjadi tutor/pelatih/instruktur. (75)</t>
  </si>
  <si>
    <t>Memperoleh penghargaan tanda jasa Satya Lancana Karya Satya 30 (tiga puluh) tahun. (76)</t>
  </si>
  <si>
    <t>Memperoleh penghargaan tanda jasa Satya Lancana Karya Satya 20 (dua puluh) tahun. (77)</t>
  </si>
  <si>
    <t>Memperoleh penghargaan tanda jasa Satya Lancana Karya Satya 10 (sepuluh) tahun. (78)</t>
  </si>
  <si>
    <t>Memperoleh penghargaan/tanda jasa (79)</t>
  </si>
  <si>
    <t>PENILAIAN SASARAN KERJA PEGAWAI</t>
  </si>
  <si>
    <t>Jangka Waktu Penilaian</t>
  </si>
  <si>
    <t>I. KEGIATAN TUGAS JABATAN</t>
  </si>
  <si>
    <t>Tk efisiensi</t>
  </si>
  <si>
    <t>PENGHI- TUNGAN</t>
  </si>
  <si>
    <t>KUALT/ MUTU</t>
  </si>
  <si>
    <t>Hitung Kunt/Output</t>
  </si>
  <si>
    <t>Hitung Kualt/Mutu</t>
  </si>
  <si>
    <t>Waktu1</t>
  </si>
  <si>
    <t>Waktu2</t>
  </si>
  <si>
    <t>Waktu3</t>
  </si>
  <si>
    <t>Waktu4</t>
  </si>
  <si>
    <t>Hitung Waktu</t>
  </si>
  <si>
    <t>A</t>
  </si>
  <si>
    <t xml:space="preserve">UNSUR UTAMA </t>
  </si>
  <si>
    <t>RATA-RATA</t>
  </si>
  <si>
    <t>TUGAS TAMBAHAN DAN KREATIVITAS</t>
  </si>
  <si>
    <t>Sleman,</t>
  </si>
  <si>
    <t>Pajabat Penilai,</t>
  </si>
  <si>
    <t>H. Sidik Pramono, S.Ag, M.Si</t>
  </si>
  <si>
    <t>19700303 199703 1 004</t>
  </si>
  <si>
    <t>Kepala Kantor Kementerian Agama Kab. Sleman</t>
  </si>
  <si>
    <t>19690921 199503 1 001</t>
  </si>
  <si>
    <t xml:space="preserve"> III A</t>
  </si>
  <si>
    <t>III B</t>
  </si>
  <si>
    <t>III C</t>
  </si>
  <si>
    <t xml:space="preserve"> III D</t>
  </si>
  <si>
    <t xml:space="preserve"> IV A</t>
  </si>
  <si>
    <t xml:space="preserve"> IV B</t>
  </si>
  <si>
    <t xml:space="preserve"> IV C</t>
  </si>
  <si>
    <t xml:space="preserve"> IV D</t>
  </si>
  <si>
    <t>Pangkat, Golongan Ruang</t>
  </si>
  <si>
    <t>Pembina, Gol. IV/a</t>
  </si>
  <si>
    <t>Guru Pertama</t>
  </si>
  <si>
    <t>IIIa</t>
  </si>
  <si>
    <t>Penata Muda, Gol. III/a</t>
  </si>
  <si>
    <t>IIIb</t>
  </si>
  <si>
    <t>Penata Muda Tk, I, Gol. III/b</t>
  </si>
  <si>
    <t>MTs Negeri 5 Sleman</t>
  </si>
  <si>
    <t>Wakil Kepala Madrasah</t>
  </si>
  <si>
    <t>Guru Muda</t>
  </si>
  <si>
    <t>IIIc</t>
  </si>
  <si>
    <t>Penata, Gol. III/c</t>
  </si>
  <si>
    <t>IIId</t>
  </si>
  <si>
    <t>Penata Tk. I, Gol. III/d</t>
  </si>
  <si>
    <t>Guru Madya</t>
  </si>
  <si>
    <t>Iva</t>
  </si>
  <si>
    <t>Ivb</t>
  </si>
  <si>
    <t>Pembina Tk. I, Gol. IV/b</t>
  </si>
  <si>
    <t>Ivc</t>
  </si>
  <si>
    <t>Pembina Utama Muda, Gol. IV/c</t>
  </si>
  <si>
    <t>Jabatan/ Pekerjaan</t>
  </si>
  <si>
    <t>Guru Utama</t>
  </si>
  <si>
    <t>Ivd</t>
  </si>
  <si>
    <t>Pembina Utama Madya, Gol. IV/d</t>
  </si>
  <si>
    <t>Pembina Utama, Gol. IV/e</t>
  </si>
  <si>
    <t>Kantor Kemenag Kabupaten Sleman</t>
  </si>
  <si>
    <t>KONVERSI</t>
  </si>
  <si>
    <t>Drs. Busyroni Majid, M.Si</t>
  </si>
  <si>
    <t>Nama Instansi</t>
  </si>
  <si>
    <t>Periode Penilaian :</t>
  </si>
  <si>
    <t>RENCANA KINERJA ATASAN LANGSUNG YANG DI INTERVENSI</t>
  </si>
  <si>
    <t>RENCANA KINERJA</t>
  </si>
  <si>
    <t>ASPEK</t>
  </si>
  <si>
    <t>INDIKATOR KINERJA INDIVIDU</t>
  </si>
  <si>
    <t>(1)</t>
  </si>
  <si>
    <t>(2)</t>
  </si>
  <si>
    <t>(3)</t>
  </si>
  <si>
    <t>(4)</t>
  </si>
  <si>
    <t>(5)</t>
  </si>
  <si>
    <t xml:space="preserve"> (6)</t>
  </si>
  <si>
    <t>A. KINERJA UTAMA</t>
  </si>
  <si>
    <t>Kuantitas</t>
  </si>
  <si>
    <t>RPP</t>
  </si>
  <si>
    <t>Kualitas</t>
  </si>
  <si>
    <t>%</t>
  </si>
  <si>
    <t>Bulan</t>
  </si>
  <si>
    <t>B. KINERJA TAMBAHAN</t>
  </si>
  <si>
    <t>bulan</t>
  </si>
  <si>
    <t xml:space="preserve">RENCANA </t>
  </si>
  <si>
    <t>LAMPIRAN SKP JF - KETERKAITAN SKP DENGAN BUTIR KEGIATAN JF GURU</t>
  </si>
  <si>
    <t>BUTIR KEGIATAN YANG TERKAIT</t>
  </si>
  <si>
    <t>OUTPUT</t>
  </si>
  <si>
    <t>ANGKA KREDIT</t>
  </si>
  <si>
    <t xml:space="preserve"> (5)</t>
  </si>
  <si>
    <t>Laporan PKG</t>
  </si>
  <si>
    <t>Raport MID dan PAS</t>
  </si>
  <si>
    <t>(7)</t>
  </si>
  <si>
    <t>Raprot</t>
  </si>
  <si>
    <t xml:space="preserve">Pegawai Negeri Sipil </t>
  </si>
  <si>
    <t xml:space="preserve">Yang dinilai </t>
  </si>
  <si>
    <t>Pejabat Penilai Kinerja</t>
  </si>
  <si>
    <t>CAPAIAN  SASARAN KINERJA PEGAWAI (JF) GURU</t>
  </si>
  <si>
    <t>CAPAIAN  IKI</t>
  </si>
  <si>
    <t>KATEGORI CAPAIAN IKI</t>
  </si>
  <si>
    <t>CAPAIAN RENCANA KINERJA</t>
  </si>
  <si>
    <t>KATEGORI</t>
  </si>
  <si>
    <t>NILAI TERTIMBANG</t>
  </si>
  <si>
    <t>Pedoman Penilaian Nilai Tertimbang Lihat Permenpan No. 8 Th 2021  hal.  123-125</t>
  </si>
  <si>
    <t>(8)</t>
  </si>
  <si>
    <t>(9)</t>
  </si>
  <si>
    <t>(10)</t>
  </si>
  <si>
    <t>(11)</t>
  </si>
  <si>
    <t>Isi nilai di kolom (11) saja (rentang 20 - 120)</t>
  </si>
  <si>
    <t>Rumus Khusus Kinerja Tambahan</t>
  </si>
  <si>
    <t>Copy rumus jika ada  baris tambahan</t>
  </si>
  <si>
    <t>NILAI AKHIR SKP</t>
  </si>
  <si>
    <t>= Nilai tertimbang capaian rencana kinerja utama + Nilai tertimbang capaian rencana kinerja tambahan</t>
  </si>
  <si>
    <t>Sleman, 31 Desember 2022</t>
  </si>
  <si>
    <t>NILAI NPK JAN - JUN</t>
  </si>
  <si>
    <t>HASIL KONVERSI</t>
  </si>
  <si>
    <t>PREDIKAT PENILAIAN KINERJA</t>
  </si>
  <si>
    <t>RENTAN NILAI</t>
  </si>
  <si>
    <t>PREDIKAT</t>
  </si>
  <si>
    <t>110 - 120 + IDE BARU</t>
  </si>
  <si>
    <t>SANGAT BAIK</t>
  </si>
  <si>
    <t>90 - 120</t>
  </si>
  <si>
    <t>BAIK</t>
  </si>
  <si>
    <t>70 - 89</t>
  </si>
  <si>
    <t>CUKUP</t>
  </si>
  <si>
    <t>50 - 69</t>
  </si>
  <si>
    <t>KURANG</t>
  </si>
  <si>
    <t>&lt; 50</t>
  </si>
  <si>
    <t>SANGAT KURANG</t>
  </si>
  <si>
    <t>tugas tambahan</t>
  </si>
  <si>
    <t>S</t>
  </si>
  <si>
    <t xml:space="preserve">Laporan </t>
  </si>
  <si>
    <t>Guru dan Wali Kelas</t>
  </si>
  <si>
    <t>WALI KELAS</t>
  </si>
  <si>
    <t>guru dan Wali Kelas</t>
  </si>
  <si>
    <t>Periode Penilaian:</t>
  </si>
  <si>
    <t>NAMA INSTANSI</t>
  </si>
  <si>
    <t>Drs.Suharto</t>
  </si>
  <si>
    <t>196909211995031001</t>
  </si>
  <si>
    <t>196506211994031001</t>
  </si>
  <si>
    <t>Pembina / IV a</t>
  </si>
  <si>
    <t>Kepala Seksi Pendidikan Madrasah</t>
  </si>
  <si>
    <t>Kantor Kementerian Agama Kab. Sleman</t>
  </si>
  <si>
    <t>Persentase siswa di Madrasah yang memperoleh pendidikan agama yang bermuatan moderasi beragama</t>
  </si>
  <si>
    <t>100 Persen</t>
  </si>
  <si>
    <t>Persentase guru di madrasah yang dibina dalam moderasi beragama</t>
  </si>
  <si>
    <t>Jumlah kegiatan ekstrakurikuler keagamaan di madrasah yang bermuatan moderasi beragama</t>
  </si>
  <si>
    <t>Persentase madrasah yang menerapkan metode pembelajaran inovatif dalam kurikulum</t>
  </si>
  <si>
    <t>Jumlah madrasah melaksanakan program keterampilan/kejuruan</t>
  </si>
  <si>
    <t>1 Lokasi</t>
  </si>
  <si>
    <t>Persentase guru di madrasah yang dinilai kinerjanya sebagai dasar penetapan tunjangan</t>
  </si>
  <si>
    <t>Jumlah penghargaan bagi guru dan tenaga kependidikan pada madrasah/sekolah keagamaan</t>
  </si>
  <si>
    <t>1 Penghargaan</t>
  </si>
  <si>
    <t>Jumlah penyelenggaraan asesmen kompetensi siswa di madrasah / sekolah keagamaan</t>
  </si>
  <si>
    <t>2 Asesmen</t>
  </si>
  <si>
    <t>Persentase siswa madrasah yang mengikuti asesmen kompetensi</t>
  </si>
  <si>
    <t>Persentase madrasah yang menerapkan TIK untuk e-pembelajaran</t>
  </si>
  <si>
    <t>Persentase mata pelajaran di madrasah yang menggunakan bahan belajar berbasis TIK untuk e-pembelajaran</t>
  </si>
  <si>
    <t>Meningkatnya kualitas sarana dan prasarana pendidikan</t>
  </si>
  <si>
    <t>Persentase MA/ Ulya/ SMTK/ SMAK/ Utama Widya Pasraman yang memenuhi SPM Sarana Prasarana</t>
  </si>
  <si>
    <t xml:space="preserve">100 Persen </t>
  </si>
  <si>
    <t>Meningkatnya pemberian bantuan pendidikan bagi anak kurang mampu, daerah afirmasi dan berbakat</t>
  </si>
  <si>
    <t>Jumlah siswa penerima BOS pada Madrasah</t>
  </si>
  <si>
    <t>464 siswa</t>
  </si>
  <si>
    <t xml:space="preserve">Persentase siswa madrasah penerima PIP </t>
  </si>
  <si>
    <t>47 Persen</t>
  </si>
  <si>
    <t>Meningkatnya kualitas pendidik dan tenaga kependidikan</t>
  </si>
  <si>
    <t>Persentase guru madrasah dan ustadz pendidikan diniyah/ muadalah yang lulus sertifikasi</t>
  </si>
  <si>
    <t>80 Persen</t>
  </si>
  <si>
    <t>Persentase tenaga kependidikan madrasah dan pendidikan diniyah/ muadalah yang memperoleh peningkatan kompetensi</t>
  </si>
  <si>
    <t>Persentase kepala madrasah dan pendidikan diniyah/ muadalah yang memperoleh peningkatan kompetensi</t>
  </si>
  <si>
    <t>Meningkatnya kualitas pendidikan profesi guru melalui peningkatan kualifikasi pendidik</t>
  </si>
  <si>
    <t>Persentase guru madrasah yang mengikuti PPG</t>
  </si>
  <si>
    <t>88 Persen</t>
  </si>
  <si>
    <t>Meningkatnya budaya mutu pendidikan</t>
  </si>
  <si>
    <t>Persentase madrasah yang menerapkan budaya mutu</t>
  </si>
  <si>
    <t>Persentase siswa madrasah yang mengikuti kompetisi nasional maupun internasional</t>
  </si>
  <si>
    <t>1 Persen</t>
  </si>
  <si>
    <t>Meningkatnya budaya belajar dan lingkungan madrasah/sekolah yang menyenangkan dan bebas dari kekerasan</t>
  </si>
  <si>
    <t>Persentase madrasah yang mengintegrasikan pendidikan karakter dalam pembelajaran</t>
  </si>
  <si>
    <t>Presentase madrasah yang ramah anak</t>
  </si>
  <si>
    <t>Meningkatnya kepeloporan dan kesukarelawanan pemuda dan pengembangan pendidikan kepramukaan</t>
  </si>
  <si>
    <t>Jumlah organisasi siswa ekstrakurikuler pada madrasah yang dibina kepeloporan dan kesukarelawanan</t>
  </si>
  <si>
    <t>2 Organisasi</t>
  </si>
  <si>
    <t>Jumlah gugus pramuka pada madrasah yang dibina</t>
  </si>
  <si>
    <t>1 Madrasah</t>
  </si>
  <si>
    <t>Meningkatnya kualitas pengelolaan ASN (pengadaan, penempatan, pembinaan dan pengembangan pegawai)</t>
  </si>
  <si>
    <t>Persentase dokumen perencanaan ASN yang sesuai kebutuhan satuan kerja</t>
  </si>
  <si>
    <t>Persentase laporan permasalahan kepegawaian di bidang kode etik, disiplin, pemberhentian dan pensiun yang ditindaklanjuti</t>
  </si>
  <si>
    <t>Persentase ASN yang memiliki nilai indeks profesional berkategori sedang (minimum 71)</t>
  </si>
  <si>
    <t>Persentase data ASN yang diupdate</t>
  </si>
  <si>
    <t>Meningkatnya pengelolaan manajemen keuangan yang tertib sesuai dengan ketentuan</t>
  </si>
  <si>
    <t>Jumlah laporan keuangan semester I dan semester II yang sesuai standar dan tepat waktu</t>
  </si>
  <si>
    <t>Persentase realisasi pelaksanaan anggaran yang optimal</t>
  </si>
  <si>
    <t>90 Persen</t>
  </si>
  <si>
    <t>Persentase penyelesaian Kerugian Negara pada Kementerian Agama</t>
  </si>
  <si>
    <t>Meningkatnya pengelolaan BMN yang akuntabel</t>
  </si>
  <si>
    <t>Persentase nilai Barang Milik Negara yang ditetapkan status penggunaan dan pemanfaatannya</t>
  </si>
  <si>
    <t>Persentase tanah yang bersertifikat</t>
  </si>
  <si>
    <t>Persentase nilai Opname Physic (OP) BMN</t>
  </si>
  <si>
    <t>Meningkatnya kualitas penataan dan penguatan manajemen organisasi</t>
  </si>
  <si>
    <t>Persentase satuan organisasi/ kerja yang menetapkan dan mengevaluasi standar operasional prosedur berdasarkan peta proses bisnis</t>
  </si>
  <si>
    <t xml:space="preserve">Persentase laporan kinerja satuan organisasi yang dievaluasi </t>
  </si>
  <si>
    <t>Persentase administrasi hasil pengawasan yang ditindaklanjuti</t>
  </si>
  <si>
    <t>Meningkatnya kualitas penerapan Reformasi Birokrasi</t>
  </si>
  <si>
    <t>Persentase satuan kerja yang telah dilakukan evaluasi implementasi Reformasi Birokrasi</t>
  </si>
  <si>
    <t>Jumlah agen perubahan yang dibina untuk mengimplementasikan program kerja</t>
  </si>
  <si>
    <t>3 Orang</t>
  </si>
  <si>
    <t>Meningkatnya kualitas perencanaan dan anggaran</t>
  </si>
  <si>
    <t>Persentase output perencanaan yang berbasis data</t>
  </si>
  <si>
    <t>Persentase keselarasan muatan Renja dengan Renstra</t>
  </si>
  <si>
    <t>65 Persen</t>
  </si>
  <si>
    <t>Persentase perencanaan kerjasama yang diikuti</t>
  </si>
  <si>
    <t>Meningkatnya kualitas pemantauan dan evaluasi perencanaan dan anggaran</t>
  </si>
  <si>
    <t>Persentase laporan capaian kinerja perencanaan dan anggaran yang berkualitas</t>
  </si>
  <si>
    <t>Meningkatnya kualitas sarana dan prasarana kantor</t>
  </si>
  <si>
    <t>Persentase pemenuhan kebutuhan prasarana kantor sesuai standar</t>
  </si>
  <si>
    <t>95 Persen</t>
  </si>
  <si>
    <t>Meningkatnya kualitas pengelolaan tata persuratan, arsip dan layanan pengadaan barang jasa</t>
  </si>
  <si>
    <t>Persentase surat masuk yang ditindaklanjuti secara tepat waktu</t>
  </si>
  <si>
    <t xml:space="preserve">90 Persen </t>
  </si>
  <si>
    <t>Persentase dokumen yang dikirim secara elektronik</t>
  </si>
  <si>
    <t>Persentase surat yang diarsipkan dalam e-dokumen</t>
  </si>
  <si>
    <t>70 Persen</t>
  </si>
  <si>
    <t>Meningkatnya kualitas pelayanan umum dan rumah tangga</t>
  </si>
  <si>
    <t>Persentase kepuasan pelayanan tamu pimpinan</t>
  </si>
  <si>
    <t>Meningkatnya kualitas layanan hubungan masyarakat dan informasi</t>
  </si>
  <si>
    <t>Jumlah pemberitaan capaian program dan pelaksanaan kegiatan yang dipublikasikan</t>
  </si>
  <si>
    <t>12 Berita</t>
  </si>
  <si>
    <t>Persentase pemberitaan tentang Kementerian Agama yang dicounter</t>
  </si>
  <si>
    <t>Meningkatnya kualitas data dan sistem informasi</t>
  </si>
  <si>
    <t>Jumlah sistem informasi yang memenuhi standar</t>
  </si>
  <si>
    <t>1 Sistem</t>
  </si>
  <si>
    <t>Persentase data agama dan pendidikan yang valid dan reliable</t>
  </si>
  <si>
    <t>Meningkatnya kualitas administrasi pendidikan keagamaan</t>
  </si>
  <si>
    <t>Jumlah pengawas, Guru, Pegawai PNS yang memperoleh gaji, tunjangan dan operasional</t>
  </si>
  <si>
    <t>47 Orang</t>
  </si>
  <si>
    <t>Sleman, 1 Juli 2021</t>
  </si>
  <si>
    <t>Pegawai Yang Dinilai,</t>
  </si>
  <si>
    <t>Pejabat Penilai Kinerja,</t>
  </si>
  <si>
    <t>19800930 200501 2 007</t>
  </si>
  <si>
    <t>Etyk Nurhayati, S.PdI, M.Pd</t>
  </si>
  <si>
    <t>Drs. H. Sa'ban Nuroni, M.A</t>
  </si>
  <si>
    <t>19671117 199403 1 002</t>
  </si>
  <si>
    <t>KONVERSI NILAI PRESTASI KERJA PNS MENJADI NILAI KINERJA PNS</t>
  </si>
  <si>
    <t>PNS YANG DINILAI</t>
  </si>
  <si>
    <t>NILAI PRESTASI KERJA PNS</t>
  </si>
  <si>
    <t>a. Sasaran Kinerja Pegawai (SKP)</t>
  </si>
  <si>
    <t>b. Perilaku Kerja Pegawai</t>
  </si>
  <si>
    <t>NILAI PRESTASI KERJA PNS
(60% Nilai SKP dan 40% Nilai Perilaku Kerja)</t>
  </si>
  <si>
    <t>LAPORAN DOKUMEN PENILAIAN KINERJA</t>
  </si>
  <si>
    <t>NAMA</t>
  </si>
  <si>
    <t>PANGKAT/GOLONGAN RUANG</t>
  </si>
  <si>
    <t>JABATAN</t>
  </si>
  <si>
    <t>ATASAN PEJABAT PENILAI KINERJA</t>
  </si>
  <si>
    <t>PENILAIAN KINERJA</t>
  </si>
  <si>
    <t>NILAI SKP</t>
  </si>
  <si>
    <t>NILAI PERILAKU KERJA</t>
  </si>
  <si>
    <t>NILAI SKP + PERILAKU KERJA</t>
  </si>
  <si>
    <t>IDE BARU</t>
  </si>
  <si>
    <t>NILAI KINERJA PEGAWAI</t>
  </si>
  <si>
    <t>PREDIKAT KINERJA PEGAWAI</t>
  </si>
  <si>
    <t>TOTAL ANGKA KREDIT YANG
DIPEROLEH (BAGI PEJABAT
FUNGSIONAL)</t>
  </si>
  <si>
    <t>PERMASALAHAN</t>
  </si>
  <si>
    <t>Pegawai yang Dinilai,</t>
  </si>
  <si>
    <t>NILAI KINERJA PNS TAHUN 2021
(50% Nilai Kinerja Tahap I dan 50% Nilai Kinerja Tahap II)</t>
  </si>
  <si>
    <t>10 Januari 2022</t>
  </si>
  <si>
    <t xml:space="preserve">NAMA INSTANSI </t>
  </si>
  <si>
    <t>TANGGAL PERIODE PENILAIAN KINERJA</t>
  </si>
  <si>
    <t>SASARAN KINERJA PEGAWAI</t>
  </si>
  <si>
    <t>Menguatnya muatan moderasi beragama dalam mata pelajaran agama di ruang publik (SK.09)</t>
  </si>
  <si>
    <t>Meningkatnya kualitas penerapan kurikulum dan pola pembelajaran inovatif (SK.25)</t>
  </si>
  <si>
    <t>Meningkatnya kualitas penilaian pendidikan (SK.26)</t>
  </si>
  <si>
    <t>Meningkatnya penerapan teknologi informasi dan komunikasi dalam sistem pembelajaran (SK.27)</t>
  </si>
  <si>
    <t>Alat Peraga</t>
  </si>
  <si>
    <t>REVIEW RENCANA SASARAN KINERJA PEGAWAI</t>
  </si>
  <si>
    <t>REVIU 
PENGELOLA KINERJA</t>
  </si>
  <si>
    <t>(6)</t>
  </si>
  <si>
    <r>
      <t xml:space="preserve">Jenis Penyelarasan:
Direct Cascading / </t>
    </r>
    <r>
      <rPr>
        <strike/>
        <sz val="11"/>
        <rFont val="Arial"/>
        <family val="2"/>
      </rPr>
      <t>Non Direct Cascading</t>
    </r>
    <r>
      <rPr>
        <sz val="11"/>
        <rFont val="Arial"/>
        <family val="2"/>
      </rPr>
      <t xml:space="preserve">
Catatan Perbaikan: -</t>
    </r>
  </si>
  <si>
    <t>Pengelola Kinerja,</t>
  </si>
  <si>
    <t>H. SIDIK PRAMONO, S.Ag, M.Si.</t>
  </si>
  <si>
    <t>Menguatnya muatan moderasi beragama dalam mata pelajaran agama di ruang publik</t>
  </si>
  <si>
    <t>Persen</t>
  </si>
  <si>
    <t/>
  </si>
  <si>
    <t>Meningkatnya kualitas penerapan kurikulum dan pola pembelajaran inovatif</t>
  </si>
  <si>
    <t>Meningkatnya kualitas penilaian pendidikan</t>
  </si>
  <si>
    <t>Penghargaan</t>
  </si>
  <si>
    <t>Asesmen</t>
  </si>
  <si>
    <t xml:space="preserve">Meningkatnya penerapan teknologi informasi dan komunikasi dalam sistem pembelajaran </t>
  </si>
  <si>
    <t>Persentase MTs/ Wustha/ SMPTK/ Madyama Widya Pasraman yang memenuhi SPM Sarana Prasarana</t>
  </si>
  <si>
    <t xml:space="preserve">Persen </t>
  </si>
  <si>
    <t>siswa</t>
  </si>
  <si>
    <t>Organisasi</t>
  </si>
  <si>
    <t>Madrasah</t>
  </si>
  <si>
    <t>Orang</t>
  </si>
  <si>
    <t>Berita</t>
  </si>
  <si>
    <t>Sistem</t>
  </si>
  <si>
    <t>Terlaksananya direktif pimpinan sesuai target waktu yang ditetapkan</t>
  </si>
  <si>
    <t>Persentase penyelesaian penugasan/direktif pimpinan sesuai target waktu yang ditetapkan</t>
  </si>
  <si>
    <t>Terlaksananya rencana aksi/ inisiatif strategis dalam rangka pencapaian sasaran dan indikator Kinerja utama organisasi dalam perjanjian Kinerja</t>
  </si>
  <si>
    <t>Persentase penyelesaian rencana aksi/ inisiatif strategis individu sesuai target waktu yang ditetapkan</t>
  </si>
  <si>
    <t>Keikutsertaan dalam kegiatan Gugus Tugas Percepatan Penanganan Corona Virus Disease 2019 (Covid-19)</t>
  </si>
  <si>
    <t>Jumlah kegiatan yang diikuti</t>
  </si>
  <si>
    <t>DATA SASARAN KINERJA PEGAWAI</t>
  </si>
  <si>
    <t>RENCANA SASARAN KINERJA PEGAWAI</t>
  </si>
  <si>
    <t>Jumlah dokumen laporan pembelajaran</t>
  </si>
  <si>
    <t>dokumen</t>
  </si>
  <si>
    <t xml:space="preserve">Kualitas </t>
  </si>
  <si>
    <t>persen</t>
  </si>
  <si>
    <t xml:space="preserve">Waktu </t>
  </si>
  <si>
    <t>Tingkat penerapan pembelajaran inovatif</t>
  </si>
  <si>
    <t>Waktu pelaksanaan pembelajaran</t>
  </si>
  <si>
    <t>Tingkat penerapan pembelajaran berbasis TIK</t>
  </si>
  <si>
    <t>Tingkat penerapan pembelajaran karakter</t>
  </si>
  <si>
    <t>Diklat peningkatan kompetensi guru yang telah selesai diikuti</t>
  </si>
  <si>
    <t>kegiatan</t>
  </si>
  <si>
    <t>Tingkat pemahaman materi Diklat</t>
  </si>
  <si>
    <t>Jangka waktu mengikuti Diklat</t>
  </si>
  <si>
    <t>JPL</t>
  </si>
  <si>
    <t>LAMPIRAN SKP JF - KETERKAITAN SKP DENGAN BUTIR KEGIATAN JF</t>
  </si>
  <si>
    <t>Laporan Penilaian Kinerja</t>
  </si>
  <si>
    <t>1. Surat tugas 2. Laporan
deskripsi hasil pelatihan 3. Sertifikat</t>
  </si>
  <si>
    <t>Catatan Perbaikan: -</t>
  </si>
  <si>
    <t>PENILAIAN SASARAN KINERJA PEGAWAI</t>
  </si>
  <si>
    <t>INDIKATOR
KINERJA INDIVIDU</t>
  </si>
  <si>
    <t>B</t>
  </si>
  <si>
    <t>CAPAIAN IKI (%)</t>
  </si>
  <si>
    <t>(12)</t>
  </si>
  <si>
    <t>N</t>
  </si>
  <si>
    <t>R</t>
  </si>
  <si>
    <t xml:space="preserve">KETERANGAN :
</t>
  </si>
  <si>
    <t>PENILAIAN PERILAKU KERJA</t>
  </si>
  <si>
    <t>ASPEK PERILAKU</t>
  </si>
  <si>
    <t>Insitiatif Kerja</t>
  </si>
  <si>
    <t>NILAI AKHIR</t>
  </si>
  <si>
    <t>PENANGGALAN PENILAIAN SKP 1</t>
  </si>
  <si>
    <t>Januari - Juni</t>
  </si>
  <si>
    <t>PENANGGALAN PENILAIAN SKP 2</t>
  </si>
  <si>
    <t>Juli - Desember</t>
  </si>
  <si>
    <t>MADRASAH TSANAWIYAH NEGERI 5 SLEMAN</t>
  </si>
  <si>
    <t>Tanggal</t>
  </si>
  <si>
    <t>PENILAIAN PRESTASI KERJA PNS</t>
  </si>
  <si>
    <t>01 Januari s.d. 30 Juni 2021</t>
  </si>
  <si>
    <t>TANGGAL  SASARAN KINERJA</t>
  </si>
  <si>
    <t>TANGGAL KETERKAITAN SKP</t>
  </si>
  <si>
    <t>TANGGAL REVIEW RENCANA SKP</t>
  </si>
  <si>
    <t>TANGGAL PENETAPAN SKP</t>
  </si>
  <si>
    <t>12 Juli 2021</t>
  </si>
  <si>
    <t>TANGGAL PENILAIAN KINERJA</t>
  </si>
  <si>
    <t>03 Januari  2022</t>
  </si>
  <si>
    <t>PENILAIAN KINERJA PNS</t>
  </si>
  <si>
    <t>3 Januari 2022</t>
  </si>
  <si>
    <t>NILAI KINERJA PNS
(70% Nilai SKP dan 30% Nilai Perilaku Kerja)</t>
  </si>
  <si>
    <t>c. Ide Baru</t>
  </si>
  <si>
    <t>NILAI AKHIR
(Nilai Kinerja PNS + Nilai Ide Baru)</t>
  </si>
  <si>
    <t>5 Januari 2022</t>
  </si>
  <si>
    <t>TANGGAL LAPORAN DPK PEGAWAI DINILAI</t>
  </si>
  <si>
    <t>INTEGRASI HASIL PENILAIAN KINERJA PNS</t>
  </si>
  <si>
    <t>Tanggal Integrasi Penilaian</t>
  </si>
  <si>
    <t>2 Februari 2022</t>
  </si>
  <si>
    <t>01 Juli s.d. 31 Desember 2021</t>
  </si>
  <si>
    <t>01 Januari s/d 31 Desember 2021</t>
  </si>
  <si>
    <t>TANGGAL LAPORAN  DPK PENILAI</t>
  </si>
  <si>
    <t>TABEL INDIKATOR SASARAN KINERJA PEGAWAI</t>
  </si>
  <si>
    <t>1A</t>
  </si>
  <si>
    <t>3A</t>
  </si>
  <si>
    <t>3B</t>
  </si>
  <si>
    <t>3C</t>
  </si>
  <si>
    <t>4A</t>
  </si>
  <si>
    <t>6A</t>
  </si>
  <si>
    <t>7A</t>
  </si>
  <si>
    <t>7B</t>
  </si>
  <si>
    <t>9A</t>
  </si>
  <si>
    <t>10A</t>
  </si>
  <si>
    <t>11A</t>
  </si>
  <si>
    <t>12A</t>
  </si>
  <si>
    <t>12B</t>
  </si>
  <si>
    <t>12C</t>
  </si>
  <si>
    <t>13A</t>
  </si>
  <si>
    <t>13B</t>
  </si>
  <si>
    <t>14A</t>
  </si>
  <si>
    <t>14B</t>
  </si>
  <si>
    <t>15A</t>
  </si>
  <si>
    <t>15B</t>
  </si>
  <si>
    <t>16A</t>
  </si>
  <si>
    <t>17A</t>
  </si>
  <si>
    <t>17B</t>
  </si>
  <si>
    <t>21A</t>
  </si>
  <si>
    <t>21B</t>
  </si>
  <si>
    <t>22A</t>
  </si>
  <si>
    <t>23A</t>
  </si>
  <si>
    <t>B1</t>
  </si>
  <si>
    <t>Terlaksananya ketugasan sebagai Kepala Madrasah sesuai target waktu yang ditetapkan</t>
  </si>
  <si>
    <t>Terlaksananya ketugasan sebagai kuasa pengguna anggaran</t>
  </si>
  <si>
    <t>Persentase laporan realisasi anggaran sesuai target waktu yang ditetapkan</t>
  </si>
  <si>
    <t>Persentase laporan penilaian kinerja Madrasah sesuai target waktu yang ditetapkan</t>
  </si>
  <si>
    <t>JABATAN KEPALA MADRASAH</t>
  </si>
  <si>
    <t>01 Januari s/d Desember 2021</t>
  </si>
  <si>
    <t>MTs NEGERI 5 SLEMAN</t>
  </si>
  <si>
    <t>RENCANA KINERJA DI KETIK SECARA MANUAL SESUAI INDIKATOR KINERJA YANG DILAKSANAKAN GURU DI SKP ATASAN</t>
  </si>
  <si>
    <t>ATUR LEBAR BARIS DAN KOLOM SESUAI KEBUTUHAN</t>
  </si>
  <si>
    <t>NILAI PERILAKU</t>
  </si>
  <si>
    <t>KTA</t>
  </si>
  <si>
    <t>8. Sleman, 4 Februari 2022</t>
  </si>
  <si>
    <t>7. Sleman, 2 Februari 2022</t>
  </si>
  <si>
    <t>VOL</t>
  </si>
  <si>
    <t>JML</t>
  </si>
  <si>
    <t>JUMLAH ANGKA KREDIT</t>
  </si>
  <si>
    <t>04 Januari 2021</t>
  </si>
  <si>
    <t>TANGGAL PEJABAT PENILAI</t>
  </si>
  <si>
    <t>14 Juli 2021</t>
  </si>
  <si>
    <t>TANGGAL SKP ATASAN</t>
  </si>
  <si>
    <t>12  Juli 2021</t>
  </si>
  <si>
    <t>Sirajudin, S.Pd.</t>
  </si>
  <si>
    <t>19730115 200710 1 001</t>
  </si>
  <si>
    <t>Surat Tugas</t>
  </si>
  <si>
    <t>Video</t>
  </si>
  <si>
    <t>Sirajudin, S.Pd</t>
  </si>
  <si>
    <t>Terlaksananya penerapan metode pembelajaran inovatif dalam kurikulum mapel Penjaskes pada kelas VII A-B-C-D, VIII C-D</t>
  </si>
  <si>
    <t>Terlaksananya pembelajaran mapel Penjaskes pada kelas VII A-B-C-D, VIII C-D yang menggunakan bahan belajar berbasis TIK untuk e-pembelajaran</t>
  </si>
  <si>
    <t>Tersedianya bahan ajar mapel Penjaskes  pada kelas VII  A-B-C-D, VIII C-D  yang mengintegrasikan pendidikan karakter sesuai kurikulum madrasah</t>
  </si>
  <si>
    <t>Diktat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</si>
</sst>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0.0000"/>
    <numFmt numFmtId="168" formatCode="_(* #,##0_);_(* \(#,##0\);_(* &quot;-&quot;??_);_(@_)"/>
    <numFmt numFmtId="169" formatCode="_(* #,##0.0_);_(* \(#,##0.0\);_(* &quot;-&quot;_);_(@_)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u/>
      <sz val="11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b/>
      <i/>
      <sz val="11"/>
      <name val="Times New Roman"/>
      <family val="1"/>
    </font>
    <font>
      <b/>
      <sz val="12"/>
      <color theme="0"/>
      <name val="Arial"/>
      <family val="2"/>
    </font>
    <font>
      <sz val="12"/>
      <color theme="1"/>
      <name val="Times New Roman"/>
      <family val="1"/>
    </font>
    <font>
      <b/>
      <sz val="16"/>
      <color theme="0"/>
      <name val="Berlin Sans FB Demi"/>
      <family val="2"/>
    </font>
    <font>
      <b/>
      <sz val="12"/>
      <color rgb="FFFFFF00"/>
      <name val="Times New Roman"/>
      <family val="1"/>
    </font>
    <font>
      <sz val="12"/>
      <color rgb="FFFFFF00"/>
      <name val="Times New Roman"/>
      <family val="1"/>
    </font>
    <font>
      <sz val="12"/>
      <color rgb="FFFFFF00"/>
      <name val="Arial"/>
      <family val="2"/>
    </font>
    <font>
      <b/>
      <sz val="14"/>
      <color rgb="FFFFFF00"/>
      <name val="Times New Roman"/>
      <family val="1"/>
    </font>
    <font>
      <sz val="10"/>
      <color rgb="FFFF0000"/>
      <name val="Arial"/>
      <family val="2"/>
    </font>
    <font>
      <sz val="11"/>
      <color theme="0"/>
      <name val="Arial Narrow"/>
      <family val="2"/>
    </font>
    <font>
      <sz val="11"/>
      <color theme="0"/>
      <name val="Times New Roman"/>
      <family val="1"/>
    </font>
    <font>
      <u/>
      <sz val="12"/>
      <name val="Times New Roman"/>
      <family val="1"/>
    </font>
    <font>
      <b/>
      <sz val="14"/>
      <color rgb="FF002060"/>
      <name val="Times New Roman"/>
      <family val="1"/>
    </font>
    <font>
      <b/>
      <sz val="12"/>
      <color rgb="FF002060"/>
      <name val="Times New Roman"/>
      <family val="1"/>
    </font>
    <font>
      <sz val="12"/>
      <color rgb="FF002060"/>
      <name val="Times New Roman"/>
      <family val="1"/>
    </font>
    <font>
      <sz val="12"/>
      <color rgb="FF002060"/>
      <name val="Arial"/>
      <family val="2"/>
    </font>
    <font>
      <b/>
      <sz val="16"/>
      <color rgb="FFFFFF00"/>
      <name val="Times New Roman"/>
      <family val="1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Arial"/>
      <family val="2"/>
    </font>
    <font>
      <b/>
      <sz val="10"/>
      <color theme="1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sz val="8"/>
      <color theme="1"/>
      <name val="Tahoma"/>
      <family val="2"/>
    </font>
    <font>
      <sz val="8"/>
      <name val="Tahoma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9"/>
      <name val="Tahoma"/>
      <family val="2"/>
    </font>
    <font>
      <sz val="10"/>
      <color rgb="FFFF0000"/>
      <name val="Tahoma"/>
      <family val="2"/>
    </font>
    <font>
      <sz val="11"/>
      <color theme="0" tint="-0.34998626667073579"/>
      <name val="Calibri"/>
      <family val="2"/>
      <scheme val="minor"/>
    </font>
    <font>
      <sz val="11"/>
      <color theme="1"/>
      <name val="Tahoma"/>
      <family val="2"/>
    </font>
    <font>
      <sz val="11"/>
      <color theme="0"/>
      <name val="Tahoma"/>
      <family val="2"/>
    </font>
    <font>
      <b/>
      <sz val="18"/>
      <color theme="1"/>
      <name val="Tahoma"/>
      <family val="2"/>
    </font>
    <font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9"/>
      <color rgb="FFFF0000"/>
      <name val="Tahoma"/>
      <family val="2"/>
    </font>
    <font>
      <i/>
      <sz val="9"/>
      <color theme="1"/>
      <name val="Tahoma"/>
      <family val="2"/>
    </font>
    <font>
      <b/>
      <sz val="14"/>
      <name val="Tahoma"/>
      <family val="2"/>
    </font>
    <font>
      <sz val="14"/>
      <name val="Tahoma"/>
      <family val="2"/>
    </font>
    <font>
      <sz val="12"/>
      <name val="Tahoma"/>
      <family val="2"/>
    </font>
    <font>
      <b/>
      <sz val="9"/>
      <name val="Tahoma"/>
      <family val="2"/>
    </font>
    <font>
      <b/>
      <sz val="12"/>
      <name val="Tahoma"/>
      <family val="2"/>
    </font>
    <font>
      <b/>
      <sz val="14"/>
      <color theme="0"/>
      <name val="Cambria"/>
      <family val="1"/>
    </font>
    <font>
      <sz val="14"/>
      <color theme="1"/>
      <name val="Cambria"/>
      <family val="1"/>
    </font>
    <font>
      <sz val="12"/>
      <color theme="0"/>
      <name val="Times New Roman"/>
      <family val="1"/>
    </font>
    <font>
      <sz val="12"/>
      <name val="Cambria"/>
      <family val="1"/>
    </font>
    <font>
      <b/>
      <sz val="8"/>
      <color theme="0"/>
      <name val="Arial"/>
      <family val="2"/>
    </font>
    <font>
      <b/>
      <sz val="8"/>
      <color theme="0"/>
      <name val="Calibri"/>
      <family val="2"/>
    </font>
    <font>
      <b/>
      <sz val="12"/>
      <color theme="1"/>
      <name val="Tahoma"/>
      <family val="2"/>
    </font>
    <font>
      <b/>
      <sz val="10"/>
      <color theme="0"/>
      <name val="Arial"/>
      <family val="2"/>
    </font>
    <font>
      <b/>
      <sz val="10"/>
      <color theme="0"/>
      <name val="Calibri"/>
      <family val="2"/>
    </font>
    <font>
      <sz val="11"/>
      <name val="Tahoma"/>
      <family val="2"/>
    </font>
    <font>
      <sz val="12"/>
      <color theme="0"/>
      <name val="Tahoma"/>
      <family val="2"/>
    </font>
    <font>
      <b/>
      <sz val="16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b/>
      <sz val="11"/>
      <name val="Arial"/>
      <family val="2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Bookman Old Style"/>
      <family val="1"/>
    </font>
    <font>
      <sz val="12"/>
      <color theme="1"/>
      <name val="Arial"/>
      <family val="2"/>
    </font>
    <font>
      <i/>
      <sz val="11"/>
      <color rgb="FF002060"/>
      <name val="Arial"/>
      <family val="2"/>
    </font>
    <font>
      <sz val="10"/>
      <color theme="0"/>
      <name val="Tahoma"/>
      <family val="2"/>
    </font>
    <font>
      <b/>
      <sz val="14"/>
      <color rgb="FF000000"/>
      <name val="Arial"/>
      <family val="2"/>
    </font>
    <font>
      <b/>
      <sz val="11"/>
      <color rgb="FF000000"/>
      <name val="Arial"/>
      <family val="2"/>
    </font>
    <font>
      <strike/>
      <sz val="11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Cambria"/>
      <family val="1"/>
    </font>
    <font>
      <u/>
      <sz val="11"/>
      <name val="Arial"/>
      <family val="2"/>
    </font>
    <font>
      <sz val="11"/>
      <color theme="1"/>
      <name val="Times New Roman"/>
      <family val="1"/>
    </font>
    <font>
      <sz val="8"/>
      <name val="Arial"/>
      <family val="2"/>
    </font>
    <font>
      <sz val="14"/>
      <color rgb="FF002060"/>
      <name val="Arial Rounded MT Bold"/>
      <family val="2"/>
    </font>
    <font>
      <b/>
      <sz val="11"/>
      <name val="Arial Narrow"/>
      <family val="2"/>
    </font>
    <font>
      <sz val="11"/>
      <name val="Arial Narrow"/>
      <family val="2"/>
    </font>
    <font>
      <u/>
      <sz val="11"/>
      <color theme="10"/>
      <name val="Arial"/>
      <family val="2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9"/>
      <color theme="1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6DCE4"/>
        <bgColor rgb="FFD6DCE4"/>
      </patternFill>
    </fill>
    <fill>
      <patternFill patternType="solid">
        <fgColor theme="4" tint="0.79998168889431442"/>
        <bgColor rgb="FFD6DCE4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59999389629810485"/>
        <bgColor indexed="64"/>
      </patternFill>
    </fill>
  </fills>
  <borders count="79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12">
    <xf numFmtId="0" fontId="0" fillId="0" borderId="0"/>
    <xf numFmtId="164" fontId="7" fillId="0" borderId="0" applyFont="0" applyFill="0" applyBorder="0" applyAlignment="0" applyProtection="0"/>
    <xf numFmtId="0" fontId="6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0" fillId="0" borderId="0"/>
    <xf numFmtId="164" fontId="6" fillId="0" borderId="0" applyFont="0" applyFill="0" applyBorder="0" applyAlignment="0" applyProtection="0"/>
    <xf numFmtId="0" fontId="90" fillId="0" borderId="0"/>
    <xf numFmtId="0" fontId="80" fillId="0" borderId="0"/>
    <xf numFmtId="0" fontId="80" fillId="0" borderId="0"/>
    <xf numFmtId="0" fontId="106" fillId="0" borderId="0" applyNumberFormat="0" applyFill="0" applyBorder="0" applyAlignment="0" applyProtection="0"/>
  </cellStyleXfs>
  <cellXfs count="1512">
    <xf numFmtId="0" fontId="0" fillId="0" borderId="0" xfId="0"/>
    <xf numFmtId="0" fontId="6" fillId="0" borderId="0" xfId="2"/>
    <xf numFmtId="2" fontId="28" fillId="0" borderId="0" xfId="2" applyNumberFormat="1" applyFont="1"/>
    <xf numFmtId="166" fontId="6" fillId="0" borderId="0" xfId="2" applyNumberFormat="1"/>
    <xf numFmtId="2" fontId="29" fillId="0" borderId="0" xfId="0" applyNumberFormat="1" applyFont="1" applyAlignment="1" applyProtection="1">
      <alignment horizontal="left" vertical="top" wrapText="1"/>
      <protection hidden="1"/>
    </xf>
    <xf numFmtId="167" fontId="29" fillId="0" borderId="0" xfId="0" applyNumberFormat="1" applyFont="1" applyAlignment="1" applyProtection="1">
      <alignment horizontal="center" vertical="center"/>
      <protection hidden="1"/>
    </xf>
    <xf numFmtId="164" fontId="29" fillId="0" borderId="0" xfId="1" applyFont="1" applyAlignment="1" applyProtection="1">
      <alignment horizontal="center" vertical="top" wrapText="1"/>
      <protection hidden="1"/>
    </xf>
    <xf numFmtId="0" fontId="38" fillId="10" borderId="0" xfId="3" applyFont="1" applyFill="1" applyProtection="1">
      <protection hidden="1"/>
    </xf>
    <xf numFmtId="0" fontId="38" fillId="0" borderId="0" xfId="3" applyFont="1" applyProtection="1">
      <protection locked="0"/>
    </xf>
    <xf numFmtId="0" fontId="38" fillId="10" borderId="0" xfId="3" applyFont="1" applyFill="1" applyProtection="1">
      <protection locked="0"/>
    </xf>
    <xf numFmtId="0" fontId="40" fillId="0" borderId="0" xfId="3" applyFont="1" applyProtection="1">
      <protection hidden="1"/>
    </xf>
    <xf numFmtId="0" fontId="41" fillId="10" borderId="0" xfId="3" applyFont="1" applyFill="1" applyAlignment="1" applyProtection="1">
      <alignment vertical="center"/>
      <protection hidden="1"/>
    </xf>
    <xf numFmtId="0" fontId="42" fillId="0" borderId="19" xfId="3" applyFont="1" applyBorder="1" applyAlignment="1" applyProtection="1">
      <alignment horizontal="center" vertical="center"/>
      <protection hidden="1"/>
    </xf>
    <xf numFmtId="0" fontId="41" fillId="10" borderId="0" xfId="3" applyFont="1" applyFill="1" applyAlignment="1" applyProtection="1">
      <alignment vertical="center"/>
      <protection locked="0"/>
    </xf>
    <xf numFmtId="0" fontId="38" fillId="10" borderId="0" xfId="3" applyFont="1" applyFill="1" applyAlignment="1" applyProtection="1">
      <alignment vertical="center"/>
      <protection hidden="1"/>
    </xf>
    <xf numFmtId="0" fontId="43" fillId="0" borderId="19" xfId="3" applyFont="1" applyBorder="1" applyAlignment="1" applyProtection="1">
      <alignment horizontal="center" vertical="center"/>
      <protection hidden="1"/>
    </xf>
    <xf numFmtId="0" fontId="43" fillId="0" borderId="27" xfId="3" applyFont="1" applyBorder="1" applyAlignment="1" applyProtection="1">
      <alignment horizontal="left" vertical="center"/>
      <protection hidden="1"/>
    </xf>
    <xf numFmtId="0" fontId="38" fillId="0" borderId="0" xfId="3" applyFont="1" applyAlignment="1" applyProtection="1">
      <alignment vertical="center"/>
      <protection locked="0"/>
    </xf>
    <xf numFmtId="0" fontId="38" fillId="10" borderId="0" xfId="3" applyFont="1" applyFill="1" applyAlignment="1" applyProtection="1">
      <alignment vertical="center"/>
      <protection locked="0"/>
    </xf>
    <xf numFmtId="0" fontId="43" fillId="0" borderId="23" xfId="3" applyFont="1" applyBorder="1" applyAlignment="1" applyProtection="1">
      <alignment horizontal="center" vertical="center"/>
      <protection hidden="1"/>
    </xf>
    <xf numFmtId="0" fontId="43" fillId="0" borderId="0" xfId="3" applyFont="1" applyAlignment="1" applyProtection="1">
      <alignment horizontal="left" vertical="center"/>
      <protection hidden="1"/>
    </xf>
    <xf numFmtId="0" fontId="43" fillId="0" borderId="11" xfId="3" applyFont="1" applyBorder="1" applyAlignment="1" applyProtection="1">
      <alignment horizontal="center" vertical="center"/>
      <protection hidden="1"/>
    </xf>
    <xf numFmtId="0" fontId="43" fillId="0" borderId="10" xfId="3" applyFont="1" applyBorder="1" applyAlignment="1" applyProtection="1">
      <alignment horizontal="left" vertical="center" wrapText="1"/>
      <protection hidden="1"/>
    </xf>
    <xf numFmtId="0" fontId="41" fillId="10" borderId="0" xfId="3" applyFont="1" applyFill="1" applyAlignment="1" applyProtection="1">
      <alignment vertical="center" wrapText="1"/>
      <protection hidden="1"/>
    </xf>
    <xf numFmtId="0" fontId="42" fillId="0" borderId="11" xfId="3" applyFont="1" applyBorder="1" applyAlignment="1" applyProtection="1">
      <alignment horizontal="center" vertical="center" wrapText="1"/>
      <protection hidden="1"/>
    </xf>
    <xf numFmtId="0" fontId="44" fillId="0" borderId="23" xfId="3" applyFont="1" applyBorder="1" applyAlignment="1" applyProtection="1">
      <alignment horizontal="center" vertical="center" wrapText="1"/>
      <protection hidden="1"/>
    </xf>
    <xf numFmtId="0" fontId="45" fillId="0" borderId="23" xfId="3" applyFont="1" applyBorder="1" applyAlignment="1" applyProtection="1">
      <alignment horizontal="center" vertical="center" wrapText="1"/>
      <protection hidden="1"/>
    </xf>
    <xf numFmtId="0" fontId="41" fillId="10" borderId="0" xfId="3" applyFont="1" applyFill="1" applyAlignment="1" applyProtection="1">
      <alignment vertical="center" wrapText="1"/>
      <protection locked="0"/>
    </xf>
    <xf numFmtId="0" fontId="42" fillId="0" borderId="17" xfId="3" applyFont="1" applyBorder="1" applyAlignment="1" applyProtection="1">
      <alignment horizontal="center" vertical="center" wrapText="1"/>
      <protection hidden="1"/>
    </xf>
    <xf numFmtId="0" fontId="42" fillId="0" borderId="18" xfId="3" applyFont="1" applyBorder="1" applyAlignment="1" applyProtection="1">
      <alignment horizontal="left" vertical="center" wrapText="1"/>
      <protection hidden="1"/>
    </xf>
    <xf numFmtId="0" fontId="44" fillId="0" borderId="17" xfId="3" applyFont="1" applyBorder="1" applyAlignment="1" applyProtection="1">
      <alignment horizontal="center" vertical="center" wrapText="1"/>
      <protection hidden="1"/>
    </xf>
    <xf numFmtId="0" fontId="28" fillId="11" borderId="17" xfId="3" applyFont="1" applyFill="1" applyBorder="1" applyAlignment="1" applyProtection="1">
      <alignment horizontal="center" vertical="center"/>
      <protection locked="0"/>
    </xf>
    <xf numFmtId="1" fontId="46" fillId="11" borderId="17" xfId="3" applyNumberFormat="1" applyFont="1" applyFill="1" applyBorder="1" applyAlignment="1" applyProtection="1">
      <alignment horizontal="center" vertical="center"/>
      <protection locked="0"/>
    </xf>
    <xf numFmtId="0" fontId="46" fillId="11" borderId="17" xfId="3" applyFont="1" applyFill="1" applyBorder="1" applyAlignment="1" applyProtection="1">
      <alignment horizontal="left" vertical="center"/>
      <protection locked="0"/>
    </xf>
    <xf numFmtId="0" fontId="46" fillId="11" borderId="21" xfId="3" applyFont="1" applyFill="1" applyBorder="1" applyAlignment="1" applyProtection="1">
      <alignment horizontal="center" vertical="center"/>
      <protection locked="0"/>
    </xf>
    <xf numFmtId="0" fontId="46" fillId="11" borderId="17" xfId="3" applyFont="1" applyFill="1" applyBorder="1" applyAlignment="1" applyProtection="1">
      <alignment horizontal="center" vertical="center"/>
      <protection locked="0"/>
    </xf>
    <xf numFmtId="0" fontId="28" fillId="10" borderId="0" xfId="3" applyFont="1" applyFill="1" applyAlignment="1" applyProtection="1">
      <alignment vertical="center"/>
      <protection locked="0"/>
    </xf>
    <xf numFmtId="0" fontId="40" fillId="10" borderId="28" xfId="3" quotePrefix="1" applyFont="1" applyFill="1" applyBorder="1" applyAlignment="1" applyProtection="1">
      <alignment horizontal="center" vertical="center"/>
      <protection locked="0"/>
    </xf>
    <xf numFmtId="0" fontId="47" fillId="10" borderId="0" xfId="3" applyFont="1" applyFill="1" applyAlignment="1" applyProtection="1">
      <alignment vertical="center"/>
      <protection hidden="1"/>
    </xf>
    <xf numFmtId="0" fontId="46" fillId="11" borderId="17" xfId="3" applyFont="1" applyFill="1" applyBorder="1" applyAlignment="1" applyProtection="1">
      <alignment horizontal="center" vertical="center" wrapText="1"/>
      <protection locked="0"/>
    </xf>
    <xf numFmtId="0" fontId="47" fillId="0" borderId="0" xfId="3" applyFont="1" applyAlignment="1" applyProtection="1">
      <alignment vertical="center"/>
      <protection locked="0"/>
    </xf>
    <xf numFmtId="0" fontId="48" fillId="10" borderId="0" xfId="3" applyFont="1" applyFill="1" applyAlignment="1" applyProtection="1">
      <alignment vertical="center"/>
      <protection locked="0"/>
    </xf>
    <xf numFmtId="0" fontId="47" fillId="10" borderId="0" xfId="3" applyFont="1" applyFill="1" applyAlignment="1" applyProtection="1">
      <alignment vertical="center"/>
      <protection locked="0"/>
    </xf>
    <xf numFmtId="0" fontId="40" fillId="10" borderId="28" xfId="3" applyFont="1" applyFill="1" applyBorder="1" applyAlignment="1" applyProtection="1">
      <alignment horizontal="center" vertical="center"/>
      <protection locked="0"/>
    </xf>
    <xf numFmtId="0" fontId="43" fillId="11" borderId="17" xfId="3" applyFont="1" applyFill="1" applyBorder="1" applyAlignment="1" applyProtection="1">
      <alignment horizontal="center" vertical="center"/>
      <protection locked="0"/>
    </xf>
    <xf numFmtId="0" fontId="45" fillId="11" borderId="21" xfId="3" applyFont="1" applyFill="1" applyBorder="1" applyAlignment="1" applyProtection="1">
      <alignment horizontal="center" vertical="center"/>
      <protection locked="0"/>
    </xf>
    <xf numFmtId="0" fontId="45" fillId="11" borderId="18" xfId="3" applyFont="1" applyFill="1" applyBorder="1" applyAlignment="1" applyProtection="1">
      <alignment horizontal="center" vertical="center"/>
      <protection locked="0"/>
    </xf>
    <xf numFmtId="0" fontId="47" fillId="10" borderId="0" xfId="3" applyFont="1" applyFill="1" applyProtection="1">
      <protection hidden="1"/>
    </xf>
    <xf numFmtId="0" fontId="43" fillId="0" borderId="24" xfId="3" applyFont="1" applyBorder="1" applyProtection="1">
      <protection locked="0"/>
    </xf>
    <xf numFmtId="0" fontId="43" fillId="0" borderId="21" xfId="3" applyFont="1" applyBorder="1" applyProtection="1">
      <protection locked="0"/>
    </xf>
    <xf numFmtId="0" fontId="47" fillId="0" borderId="0" xfId="3" applyFont="1" applyProtection="1">
      <protection locked="0"/>
    </xf>
    <xf numFmtId="0" fontId="48" fillId="10" borderId="0" xfId="3" applyFont="1" applyFill="1" applyProtection="1">
      <protection locked="0"/>
    </xf>
    <xf numFmtId="0" fontId="52" fillId="10" borderId="28" xfId="3" quotePrefix="1" applyFont="1" applyFill="1" applyBorder="1" applyAlignment="1" applyProtection="1">
      <alignment horizontal="center" vertical="center"/>
      <protection locked="0"/>
    </xf>
    <xf numFmtId="0" fontId="47" fillId="10" borderId="0" xfId="3" applyFont="1" applyFill="1" applyProtection="1">
      <protection locked="0"/>
    </xf>
    <xf numFmtId="0" fontId="43" fillId="0" borderId="0" xfId="3" applyFont="1" applyProtection="1">
      <protection locked="0"/>
    </xf>
    <xf numFmtId="0" fontId="43" fillId="0" borderId="0" xfId="3" applyFont="1" applyProtection="1">
      <protection hidden="1"/>
    </xf>
    <xf numFmtId="0" fontId="43" fillId="0" borderId="0" xfId="3" quotePrefix="1" applyFont="1" applyAlignment="1" applyProtection="1">
      <alignment horizontal="left"/>
      <protection hidden="1"/>
    </xf>
    <xf numFmtId="0" fontId="43" fillId="0" borderId="0" xfId="3" quotePrefix="1" applyFont="1" applyAlignment="1" applyProtection="1">
      <alignment horizontal="left"/>
      <protection locked="0"/>
    </xf>
    <xf numFmtId="0" fontId="43" fillId="0" borderId="0" xfId="3" applyFont="1" applyAlignment="1" applyProtection="1">
      <alignment horizontal="right"/>
      <protection locked="0"/>
    </xf>
    <xf numFmtId="0" fontId="28" fillId="10" borderId="0" xfId="3" applyFont="1" applyFill="1" applyProtection="1">
      <protection locked="0"/>
    </xf>
    <xf numFmtId="0" fontId="28" fillId="0" borderId="0" xfId="3" applyFont="1" applyProtection="1">
      <protection locked="0"/>
    </xf>
    <xf numFmtId="0" fontId="40" fillId="12" borderId="28" xfId="3" quotePrefix="1" applyFont="1" applyFill="1" applyBorder="1" applyAlignment="1" applyProtection="1">
      <alignment horizontal="center" vertical="center"/>
      <protection locked="0"/>
    </xf>
    <xf numFmtId="0" fontId="40" fillId="13" borderId="28" xfId="3" quotePrefix="1" applyFont="1" applyFill="1" applyBorder="1" applyAlignment="1" applyProtection="1">
      <alignment horizontal="center" vertical="center"/>
      <protection locked="0"/>
    </xf>
    <xf numFmtId="0" fontId="40" fillId="14" borderId="28" xfId="3" quotePrefix="1" applyFont="1" applyFill="1" applyBorder="1" applyAlignment="1" applyProtection="1">
      <alignment horizontal="center" vertical="center"/>
      <protection locked="0"/>
    </xf>
    <xf numFmtId="0" fontId="43" fillId="0" borderId="20" xfId="3" applyFont="1" applyBorder="1" applyAlignment="1" applyProtection="1">
      <alignment horizontal="center" vertical="center"/>
      <protection hidden="1"/>
    </xf>
    <xf numFmtId="0" fontId="2" fillId="0" borderId="0" xfId="3" applyProtection="1">
      <protection hidden="1"/>
    </xf>
    <xf numFmtId="0" fontId="53" fillId="0" borderId="0" xfId="3" applyFont="1" applyProtection="1">
      <protection hidden="1"/>
    </xf>
    <xf numFmtId="0" fontId="54" fillId="0" borderId="0" xfId="3" applyFont="1" applyProtection="1">
      <protection hidden="1"/>
    </xf>
    <xf numFmtId="0" fontId="55" fillId="0" borderId="29" xfId="3" applyFont="1" applyBorder="1" applyAlignment="1" applyProtection="1">
      <alignment vertical="center"/>
      <protection hidden="1"/>
    </xf>
    <xf numFmtId="0" fontId="55" fillId="0" borderId="0" xfId="3" applyFont="1" applyProtection="1">
      <protection hidden="1"/>
    </xf>
    <xf numFmtId="0" fontId="57" fillId="0" borderId="10" xfId="3" quotePrefix="1" applyFont="1" applyBorder="1" applyAlignment="1" applyProtection="1">
      <alignment horizontal="center"/>
      <protection hidden="1"/>
    </xf>
    <xf numFmtId="0" fontId="58" fillId="15" borderId="17" xfId="3" applyFont="1" applyFill="1" applyBorder="1" applyAlignment="1" applyProtection="1">
      <alignment horizontal="center" vertical="center"/>
      <protection hidden="1"/>
    </xf>
    <xf numFmtId="0" fontId="54" fillId="14" borderId="17" xfId="3" quotePrefix="1" applyFont="1" applyFill="1" applyBorder="1" applyAlignment="1" applyProtection="1">
      <alignment horizontal="center" vertical="center"/>
      <protection hidden="1"/>
    </xf>
    <xf numFmtId="0" fontId="43" fillId="14" borderId="24" xfId="3" quotePrefix="1" applyFont="1" applyFill="1" applyBorder="1" applyAlignment="1" applyProtection="1">
      <alignment vertical="center"/>
      <protection hidden="1"/>
    </xf>
    <xf numFmtId="0" fontId="43" fillId="14" borderId="21" xfId="3" applyFont="1" applyFill="1" applyBorder="1" applyAlignment="1" applyProtection="1">
      <alignment vertical="center"/>
      <protection hidden="1"/>
    </xf>
    <xf numFmtId="0" fontId="43" fillId="14" borderId="18" xfId="3" applyFont="1" applyFill="1" applyBorder="1" applyAlignment="1" applyProtection="1">
      <alignment vertical="center"/>
      <protection hidden="1"/>
    </xf>
    <xf numFmtId="0" fontId="54" fillId="14" borderId="17" xfId="3" applyFont="1" applyFill="1" applyBorder="1" applyProtection="1">
      <protection hidden="1"/>
    </xf>
    <xf numFmtId="0" fontId="37" fillId="2" borderId="0" xfId="3" applyFont="1" applyFill="1" applyProtection="1">
      <protection hidden="1"/>
    </xf>
    <xf numFmtId="0" fontId="59" fillId="0" borderId="0" xfId="3" applyFont="1" applyProtection="1">
      <protection hidden="1"/>
    </xf>
    <xf numFmtId="0" fontId="43" fillId="14" borderId="17" xfId="3" quotePrefix="1" applyFont="1" applyFill="1" applyBorder="1" applyAlignment="1" applyProtection="1">
      <alignment horizontal="center" vertical="center"/>
      <protection hidden="1"/>
    </xf>
    <xf numFmtId="2" fontId="60" fillId="14" borderId="17" xfId="3" applyNumberFormat="1" applyFont="1" applyFill="1" applyBorder="1" applyAlignment="1" applyProtection="1">
      <alignment horizontal="right" vertical="center"/>
      <protection hidden="1"/>
    </xf>
    <xf numFmtId="2" fontId="60" fillId="14" borderId="11" xfId="3" applyNumberFormat="1" applyFont="1" applyFill="1" applyBorder="1" applyAlignment="1" applyProtection="1">
      <alignment horizontal="right" vertical="center"/>
      <protection hidden="1"/>
    </xf>
    <xf numFmtId="0" fontId="43" fillId="16" borderId="17" xfId="3" quotePrefix="1" applyFont="1" applyFill="1" applyBorder="1" applyAlignment="1" applyProtection="1">
      <alignment horizontal="center" vertical="center"/>
      <protection hidden="1"/>
    </xf>
    <xf numFmtId="0" fontId="43" fillId="16" borderId="24" xfId="3" applyFont="1" applyFill="1" applyBorder="1" applyAlignment="1" applyProtection="1">
      <alignment vertical="center"/>
      <protection hidden="1"/>
    </xf>
    <xf numFmtId="0" fontId="43" fillId="16" borderId="21" xfId="3" applyFont="1" applyFill="1" applyBorder="1" applyAlignment="1" applyProtection="1">
      <alignment vertical="center"/>
      <protection hidden="1"/>
    </xf>
    <xf numFmtId="0" fontId="43" fillId="16" borderId="18" xfId="3" applyFont="1" applyFill="1" applyBorder="1" applyAlignment="1" applyProtection="1">
      <alignment vertical="center"/>
      <protection hidden="1"/>
    </xf>
    <xf numFmtId="2" fontId="43" fillId="16" borderId="17" xfId="3" applyNumberFormat="1" applyFont="1" applyFill="1" applyBorder="1" applyAlignment="1" applyProtection="1">
      <alignment horizontal="right" vertical="center"/>
      <protection hidden="1"/>
    </xf>
    <xf numFmtId="2" fontId="37" fillId="0" borderId="0" xfId="3" applyNumberFormat="1" applyFont="1" applyProtection="1">
      <protection hidden="1"/>
    </xf>
    <xf numFmtId="0" fontId="43" fillId="16" borderId="17" xfId="3" applyFont="1" applyFill="1" applyBorder="1" applyAlignment="1" applyProtection="1">
      <alignment horizontal="center" vertical="center"/>
      <protection hidden="1"/>
    </xf>
    <xf numFmtId="0" fontId="43" fillId="0" borderId="17" xfId="3" quotePrefix="1" applyFont="1" applyBorder="1" applyAlignment="1" applyProtection="1">
      <alignment horizontal="center" vertical="center"/>
      <protection hidden="1"/>
    </xf>
    <xf numFmtId="2" fontId="43" fillId="0" borderId="17" xfId="3" applyNumberFormat="1" applyFont="1" applyBorder="1" applyAlignment="1" applyProtection="1">
      <alignment vertical="center"/>
      <protection hidden="1"/>
    </xf>
    <xf numFmtId="0" fontId="60" fillId="0" borderId="17" xfId="3" quotePrefix="1" applyFont="1" applyBorder="1" applyAlignment="1" applyProtection="1">
      <alignment horizontal="center" vertical="center"/>
      <protection hidden="1"/>
    </xf>
    <xf numFmtId="0" fontId="60" fillId="0" borderId="24" xfId="3" applyFont="1" applyBorder="1" applyAlignment="1" applyProtection="1">
      <alignment vertical="center"/>
      <protection hidden="1"/>
    </xf>
    <xf numFmtId="0" fontId="43" fillId="0" borderId="21" xfId="3" applyFont="1" applyBorder="1" applyAlignment="1" applyProtection="1">
      <alignment vertical="center"/>
      <protection hidden="1"/>
    </xf>
    <xf numFmtId="0" fontId="43" fillId="0" borderId="18" xfId="3" applyFont="1" applyBorder="1" applyAlignment="1" applyProtection="1">
      <alignment vertical="center"/>
      <protection hidden="1"/>
    </xf>
    <xf numFmtId="0" fontId="43" fillId="0" borderId="17" xfId="3" applyFont="1" applyBorder="1" applyAlignment="1" applyProtection="1">
      <alignment vertical="center"/>
      <protection hidden="1"/>
    </xf>
    <xf numFmtId="0" fontId="43" fillId="0" borderId="17" xfId="3" applyFont="1" applyBorder="1" applyAlignment="1" applyProtection="1">
      <alignment horizontal="center" vertical="center"/>
      <protection hidden="1"/>
    </xf>
    <xf numFmtId="0" fontId="43" fillId="0" borderId="24" xfId="3" applyFont="1" applyBorder="1" applyAlignment="1" applyProtection="1">
      <alignment vertical="center"/>
      <protection hidden="1"/>
    </xf>
    <xf numFmtId="0" fontId="43" fillId="12" borderId="17" xfId="3" quotePrefix="1" applyFont="1" applyFill="1" applyBorder="1" applyAlignment="1" applyProtection="1">
      <alignment horizontal="center" vertical="center"/>
      <protection hidden="1"/>
    </xf>
    <xf numFmtId="0" fontId="43" fillId="12" borderId="24" xfId="3" applyFont="1" applyFill="1" applyBorder="1" applyAlignment="1" applyProtection="1">
      <alignment vertical="center"/>
      <protection hidden="1"/>
    </xf>
    <xf numFmtId="0" fontId="43" fillId="12" borderId="21" xfId="3" applyFont="1" applyFill="1" applyBorder="1" applyAlignment="1" applyProtection="1">
      <alignment vertical="center"/>
      <protection hidden="1"/>
    </xf>
    <xf numFmtId="0" fontId="43" fillId="12" borderId="18" xfId="3" applyFont="1" applyFill="1" applyBorder="1" applyAlignment="1" applyProtection="1">
      <alignment vertical="center"/>
      <protection hidden="1"/>
    </xf>
    <xf numFmtId="0" fontId="43" fillId="12" borderId="17" xfId="3" applyFont="1" applyFill="1" applyBorder="1" applyAlignment="1" applyProtection="1">
      <alignment vertical="center"/>
      <protection hidden="1"/>
    </xf>
    <xf numFmtId="0" fontId="43" fillId="13" borderId="17" xfId="3" quotePrefix="1" applyFont="1" applyFill="1" applyBorder="1" applyAlignment="1" applyProtection="1">
      <alignment horizontal="center" vertical="center"/>
      <protection hidden="1"/>
    </xf>
    <xf numFmtId="0" fontId="43" fillId="13" borderId="24" xfId="3" applyFont="1" applyFill="1" applyBorder="1" applyAlignment="1" applyProtection="1">
      <alignment vertical="center"/>
      <protection hidden="1"/>
    </xf>
    <xf numFmtId="0" fontId="43" fillId="13" borderId="21" xfId="3" applyFont="1" applyFill="1" applyBorder="1" applyAlignment="1" applyProtection="1">
      <alignment vertical="center"/>
      <protection hidden="1"/>
    </xf>
    <xf numFmtId="0" fontId="43" fillId="13" borderId="18" xfId="3" applyFont="1" applyFill="1" applyBorder="1" applyAlignment="1" applyProtection="1">
      <alignment vertical="center"/>
      <protection hidden="1"/>
    </xf>
    <xf numFmtId="0" fontId="43" fillId="13" borderId="17" xfId="3" applyFont="1" applyFill="1" applyBorder="1" applyAlignment="1" applyProtection="1">
      <alignment vertical="center"/>
      <protection hidden="1"/>
    </xf>
    <xf numFmtId="0" fontId="43" fillId="13" borderId="18" xfId="3" applyFont="1" applyFill="1" applyBorder="1" applyAlignment="1" applyProtection="1">
      <alignment horizontal="justify" vertical="center"/>
      <protection hidden="1"/>
    </xf>
    <xf numFmtId="0" fontId="61" fillId="13" borderId="24" xfId="3" applyFont="1" applyFill="1" applyBorder="1" applyAlignment="1" applyProtection="1">
      <alignment vertical="center"/>
      <protection hidden="1"/>
    </xf>
    <xf numFmtId="0" fontId="61" fillId="13" borderId="21" xfId="3" applyFont="1" applyFill="1" applyBorder="1" applyAlignment="1" applyProtection="1">
      <alignment vertical="center"/>
      <protection hidden="1"/>
    </xf>
    <xf numFmtId="0" fontId="43" fillId="14" borderId="17" xfId="3" applyFont="1" applyFill="1" applyBorder="1" applyAlignment="1" applyProtection="1">
      <alignment vertical="center"/>
      <protection hidden="1"/>
    </xf>
    <xf numFmtId="0" fontId="61" fillId="14" borderId="24" xfId="3" applyFont="1" applyFill="1" applyBorder="1" applyAlignment="1" applyProtection="1">
      <alignment vertical="center"/>
      <protection hidden="1"/>
    </xf>
    <xf numFmtId="0" fontId="61" fillId="14" borderId="21" xfId="3" applyFont="1" applyFill="1" applyBorder="1" applyAlignment="1" applyProtection="1">
      <alignment vertical="center"/>
      <protection hidden="1"/>
    </xf>
    <xf numFmtId="0" fontId="43" fillId="2" borderId="17" xfId="3" quotePrefix="1" applyFont="1" applyFill="1" applyBorder="1" applyAlignment="1" applyProtection="1">
      <alignment horizontal="center" vertical="center"/>
      <protection hidden="1"/>
    </xf>
    <xf numFmtId="0" fontId="61" fillId="2" borderId="24" xfId="3" applyFont="1" applyFill="1" applyBorder="1" applyAlignment="1" applyProtection="1">
      <alignment vertical="center"/>
      <protection hidden="1"/>
    </xf>
    <xf numFmtId="0" fontId="61" fillId="2" borderId="21" xfId="3" applyFont="1" applyFill="1" applyBorder="1" applyAlignment="1" applyProtection="1">
      <alignment vertical="center"/>
      <protection hidden="1"/>
    </xf>
    <xf numFmtId="0" fontId="43" fillId="2" borderId="21" xfId="3" applyFont="1" applyFill="1" applyBorder="1" applyAlignment="1" applyProtection="1">
      <alignment vertical="center"/>
      <protection hidden="1"/>
    </xf>
    <xf numFmtId="0" fontId="43" fillId="2" borderId="18" xfId="3" applyFont="1" applyFill="1" applyBorder="1" applyAlignment="1" applyProtection="1">
      <alignment vertical="center"/>
      <protection hidden="1"/>
    </xf>
    <xf numFmtId="0" fontId="43" fillId="2" borderId="17" xfId="3" applyFont="1" applyFill="1" applyBorder="1" applyAlignment="1" applyProtection="1">
      <alignment vertical="center"/>
      <protection hidden="1"/>
    </xf>
    <xf numFmtId="0" fontId="61" fillId="14" borderId="21" xfId="3" applyFont="1" applyFill="1" applyBorder="1" applyAlignment="1" applyProtection="1">
      <alignment vertical="center" wrapText="1"/>
      <protection hidden="1"/>
    </xf>
    <xf numFmtId="0" fontId="61" fillId="14" borderId="18" xfId="3" applyFont="1" applyFill="1" applyBorder="1" applyAlignment="1" applyProtection="1">
      <alignment vertical="center" wrapText="1"/>
      <protection hidden="1"/>
    </xf>
    <xf numFmtId="0" fontId="43" fillId="14" borderId="0" xfId="3" quotePrefix="1" applyFont="1" applyFill="1" applyAlignment="1" applyProtection="1">
      <alignment horizontal="center" vertical="center"/>
      <protection hidden="1"/>
    </xf>
    <xf numFmtId="0" fontId="61" fillId="14" borderId="0" xfId="3" applyFont="1" applyFill="1" applyAlignment="1" applyProtection="1">
      <alignment vertical="center"/>
      <protection hidden="1"/>
    </xf>
    <xf numFmtId="0" fontId="43" fillId="14" borderId="0" xfId="3" applyFont="1" applyFill="1" applyAlignment="1" applyProtection="1">
      <alignment vertical="center"/>
      <protection hidden="1"/>
    </xf>
    <xf numFmtId="0" fontId="43" fillId="0" borderId="0" xfId="3" applyNumberFormat="1" applyFont="1" applyProtection="1">
      <protection hidden="1"/>
    </xf>
    <xf numFmtId="0" fontId="2" fillId="0" borderId="0" xfId="3" applyProtection="1">
      <protection locked="0"/>
    </xf>
    <xf numFmtId="0" fontId="63" fillId="0" borderId="0" xfId="3" applyFont="1" applyAlignment="1" applyProtection="1">
      <alignment horizontal="center"/>
      <protection hidden="1"/>
    </xf>
    <xf numFmtId="0" fontId="64" fillId="0" borderId="0" xfId="3" applyFont="1" applyAlignment="1" applyProtection="1">
      <alignment horizontal="left"/>
      <protection hidden="1"/>
    </xf>
    <xf numFmtId="0" fontId="64" fillId="0" borderId="0" xfId="3" applyFont="1" applyAlignment="1" applyProtection="1">
      <alignment horizontal="center"/>
      <protection hidden="1"/>
    </xf>
    <xf numFmtId="0" fontId="4" fillId="0" borderId="0" xfId="3" applyFont="1" applyProtection="1">
      <protection locked="0"/>
    </xf>
    <xf numFmtId="3" fontId="4" fillId="0" borderId="0" xfId="3" applyNumberFormat="1" applyFont="1" applyProtection="1">
      <protection locked="0"/>
    </xf>
    <xf numFmtId="0" fontId="64" fillId="0" borderId="0" xfId="3" applyFont="1" applyProtection="1">
      <protection hidden="1"/>
    </xf>
    <xf numFmtId="0" fontId="4" fillId="0" borderId="0" xfId="3" applyFont="1" applyProtection="1">
      <protection hidden="1"/>
    </xf>
    <xf numFmtId="0" fontId="50" fillId="0" borderId="0" xfId="3" applyFont="1" applyProtection="1">
      <protection hidden="1"/>
    </xf>
    <xf numFmtId="0" fontId="50" fillId="0" borderId="0" xfId="3" applyFont="1" applyAlignment="1" applyProtection="1">
      <alignment horizontal="center" vertical="center"/>
      <protection hidden="1"/>
    </xf>
    <xf numFmtId="0" fontId="50" fillId="0" borderId="0" xfId="3" applyFont="1" applyAlignment="1" applyProtection="1">
      <alignment horizontal="left"/>
      <protection hidden="1"/>
    </xf>
    <xf numFmtId="0" fontId="50" fillId="0" borderId="0" xfId="3" applyFont="1" applyAlignment="1" applyProtection="1">
      <alignment horizontal="center"/>
      <protection hidden="1"/>
    </xf>
    <xf numFmtId="3" fontId="4" fillId="0" borderId="0" xfId="3" applyNumberFormat="1" applyFont="1" applyProtection="1">
      <protection hidden="1"/>
    </xf>
    <xf numFmtId="165" fontId="46" fillId="0" borderId="0" xfId="3" applyNumberFormat="1" applyFont="1" applyProtection="1">
      <protection hidden="1"/>
    </xf>
    <xf numFmtId="3" fontId="51" fillId="0" borderId="18" xfId="3" applyNumberFormat="1" applyFont="1" applyBorder="1" applyAlignment="1" applyProtection="1">
      <alignment horizontal="center"/>
      <protection hidden="1"/>
    </xf>
    <xf numFmtId="0" fontId="51" fillId="0" borderId="18" xfId="3" applyFont="1" applyBorder="1" applyAlignment="1" applyProtection="1">
      <alignment horizontal="center"/>
      <protection hidden="1"/>
    </xf>
    <xf numFmtId="0" fontId="51" fillId="0" borderId="17" xfId="3" applyFont="1" applyBorder="1" applyAlignment="1" applyProtection="1">
      <alignment vertical="center" wrapText="1"/>
      <protection hidden="1"/>
    </xf>
    <xf numFmtId="0" fontId="51" fillId="0" borderId="17" xfId="3" applyFont="1" applyBorder="1" applyAlignment="1" applyProtection="1">
      <alignment horizontal="center" wrapText="1"/>
      <protection hidden="1"/>
    </xf>
    <xf numFmtId="0" fontId="51" fillId="0" borderId="17" xfId="3" applyFont="1" applyBorder="1" applyAlignment="1" applyProtection="1">
      <alignment horizontal="center" vertical="center" wrapText="1"/>
      <protection hidden="1"/>
    </xf>
    <xf numFmtId="3" fontId="51" fillId="0" borderId="17" xfId="3" applyNumberFormat="1" applyFont="1" applyBorder="1" applyAlignment="1" applyProtection="1">
      <alignment horizontal="center" vertical="center" wrapText="1"/>
      <protection hidden="1"/>
    </xf>
    <xf numFmtId="0" fontId="51" fillId="0" borderId="23" xfId="3" applyFont="1" applyBorder="1" applyAlignment="1" applyProtection="1">
      <alignment horizontal="center" vertical="center" wrapText="1"/>
      <protection hidden="1"/>
    </xf>
    <xf numFmtId="0" fontId="43" fillId="17" borderId="11" xfId="3" applyFont="1" applyFill="1" applyBorder="1" applyAlignment="1" applyProtection="1">
      <alignment horizontal="center" vertical="center"/>
      <protection hidden="1"/>
    </xf>
    <xf numFmtId="0" fontId="43" fillId="17" borderId="17" xfId="3" applyFont="1" applyFill="1" applyBorder="1" applyAlignment="1" applyProtection="1">
      <alignment horizontal="center" vertical="center" wrapText="1"/>
      <protection hidden="1"/>
    </xf>
    <xf numFmtId="0" fontId="43" fillId="17" borderId="17" xfId="3" applyFont="1" applyFill="1" applyBorder="1" applyAlignment="1" applyProtection="1">
      <alignment horizontal="center" vertical="center"/>
      <protection hidden="1"/>
    </xf>
    <xf numFmtId="3" fontId="43" fillId="17" borderId="17" xfId="3" applyNumberFormat="1" applyFont="1" applyFill="1" applyBorder="1" applyAlignment="1" applyProtection="1">
      <alignment horizontal="center" vertical="center" wrapText="1"/>
      <protection hidden="1"/>
    </xf>
    <xf numFmtId="0" fontId="43" fillId="17" borderId="23" xfId="3" applyFont="1" applyFill="1" applyBorder="1" applyAlignment="1" applyProtection="1">
      <alignment horizontal="center" vertical="center" wrapText="1"/>
      <protection hidden="1"/>
    </xf>
    <xf numFmtId="0" fontId="43" fillId="17" borderId="11" xfId="3" applyFont="1" applyFill="1" applyBorder="1" applyAlignment="1" applyProtection="1">
      <alignment horizontal="center" vertical="center" wrapText="1"/>
      <protection hidden="1"/>
    </xf>
    <xf numFmtId="0" fontId="44" fillId="2" borderId="17" xfId="3" applyFont="1" applyFill="1" applyBorder="1" applyAlignment="1" applyProtection="1">
      <alignment horizontal="center" vertical="center"/>
      <protection hidden="1"/>
    </xf>
    <xf numFmtId="0" fontId="44" fillId="2" borderId="17" xfId="3" applyFont="1" applyFill="1" applyBorder="1" applyAlignment="1" applyProtection="1">
      <alignment horizontal="left" vertical="center"/>
      <protection hidden="1"/>
    </xf>
    <xf numFmtId="0" fontId="51" fillId="2" borderId="17" xfId="3" applyFont="1" applyFill="1" applyBorder="1" applyAlignment="1" applyProtection="1">
      <alignment horizontal="center" vertical="center"/>
      <protection hidden="1"/>
    </xf>
    <xf numFmtId="0" fontId="51" fillId="2" borderId="17" xfId="3" applyFont="1" applyFill="1" applyBorder="1" applyAlignment="1" applyProtection="1">
      <alignment horizontal="left" vertical="center"/>
      <protection hidden="1"/>
    </xf>
    <xf numFmtId="0" fontId="43" fillId="2" borderId="17" xfId="3" applyFont="1" applyFill="1" applyBorder="1" applyAlignment="1" applyProtection="1">
      <alignment horizontal="center" vertical="center"/>
      <protection hidden="1"/>
    </xf>
    <xf numFmtId="165" fontId="51" fillId="2" borderId="17" xfId="3" applyNumberFormat="1" applyFont="1" applyFill="1" applyBorder="1" applyAlignment="1" applyProtection="1">
      <alignment vertical="center"/>
      <protection hidden="1"/>
    </xf>
    <xf numFmtId="0" fontId="51" fillId="2" borderId="17" xfId="3" applyFont="1" applyFill="1" applyBorder="1" applyAlignment="1" applyProtection="1">
      <alignment horizontal="center" vertical="center" wrapText="1"/>
      <protection hidden="1"/>
    </xf>
    <xf numFmtId="165" fontId="51" fillId="2" borderId="17" xfId="3" applyNumberFormat="1" applyFont="1" applyFill="1" applyBorder="1" applyAlignment="1" applyProtection="1">
      <alignment horizontal="left" vertical="center"/>
      <protection hidden="1"/>
    </xf>
    <xf numFmtId="164" fontId="51" fillId="2" borderId="17" xfId="3" applyNumberFormat="1" applyFont="1" applyFill="1" applyBorder="1" applyAlignment="1" applyProtection="1">
      <alignment vertical="center"/>
      <protection hidden="1"/>
    </xf>
    <xf numFmtId="165" fontId="51" fillId="2" borderId="17" xfId="3" applyNumberFormat="1" applyFont="1" applyFill="1" applyBorder="1" applyAlignment="1" applyProtection="1">
      <alignment horizontal="center" vertical="center"/>
      <protection hidden="1"/>
    </xf>
    <xf numFmtId="0" fontId="51" fillId="2" borderId="17" xfId="3" applyFont="1" applyFill="1" applyBorder="1" applyAlignment="1" applyProtection="1">
      <alignment vertical="center"/>
      <protection hidden="1"/>
    </xf>
    <xf numFmtId="2" fontId="43" fillId="0" borderId="17" xfId="3" applyNumberFormat="1" applyFont="1" applyBorder="1" applyAlignment="1" applyProtection="1">
      <alignment horizontal="right" vertical="center"/>
      <protection hidden="1"/>
    </xf>
    <xf numFmtId="1" fontId="43" fillId="0" borderId="17" xfId="3" applyNumberFormat="1" applyFont="1" applyBorder="1" applyAlignment="1" applyProtection="1">
      <alignment horizontal="center" vertical="center"/>
      <protection hidden="1"/>
    </xf>
    <xf numFmtId="165" fontId="43" fillId="0" borderId="17" xfId="3" applyNumberFormat="1" applyFont="1" applyBorder="1" applyAlignment="1" applyProtection="1">
      <alignment vertical="center"/>
      <protection locked="0"/>
    </xf>
    <xf numFmtId="0" fontId="43" fillId="0" borderId="17" xfId="3" applyFont="1" applyBorder="1" applyAlignment="1" applyProtection="1">
      <alignment horizontal="center" vertical="center" wrapText="1"/>
      <protection locked="0"/>
    </xf>
    <xf numFmtId="0" fontId="43" fillId="0" borderId="17" xfId="3" applyFont="1" applyBorder="1" applyAlignment="1" applyProtection="1">
      <alignment horizontal="center" vertical="center"/>
      <protection locked="0"/>
    </xf>
    <xf numFmtId="168" fontId="43" fillId="0" borderId="17" xfId="3" applyNumberFormat="1" applyFont="1" applyBorder="1" applyAlignment="1" applyProtection="1">
      <alignment horizontal="left" vertical="center"/>
      <protection locked="0"/>
    </xf>
    <xf numFmtId="164" fontId="43" fillId="0" borderId="17" xfId="3" applyNumberFormat="1" applyFont="1" applyBorder="1" applyAlignment="1" applyProtection="1">
      <alignment vertical="center"/>
      <protection hidden="1"/>
    </xf>
    <xf numFmtId="165" fontId="43" fillId="0" borderId="17" xfId="3" applyNumberFormat="1" applyFont="1" applyBorder="1" applyAlignment="1" applyProtection="1">
      <alignment horizontal="center" vertical="center"/>
      <protection hidden="1"/>
    </xf>
    <xf numFmtId="166" fontId="43" fillId="0" borderId="17" xfId="3" applyNumberFormat="1" applyFont="1" applyBorder="1" applyAlignment="1" applyProtection="1">
      <alignment vertical="center"/>
      <protection hidden="1"/>
    </xf>
    <xf numFmtId="165" fontId="2" fillId="0" borderId="0" xfId="3" applyNumberFormat="1" applyProtection="1">
      <protection locked="0"/>
    </xf>
    <xf numFmtId="165" fontId="43" fillId="0" borderId="17" xfId="3" applyNumberFormat="1" applyFont="1" applyBorder="1" applyAlignment="1" applyProtection="1">
      <alignment horizontal="center" vertical="center"/>
      <protection locked="0"/>
    </xf>
    <xf numFmtId="0" fontId="43" fillId="0" borderId="24" xfId="3" applyFont="1" applyBorder="1" applyAlignment="1" applyProtection="1">
      <alignment horizontal="justify" vertical="center" wrapText="1"/>
      <protection hidden="1"/>
    </xf>
    <xf numFmtId="0" fontId="43" fillId="0" borderId="21" xfId="3" applyFont="1" applyBorder="1" applyAlignment="1" applyProtection="1">
      <alignment horizontal="justify" vertical="center" wrapText="1"/>
      <protection hidden="1"/>
    </xf>
    <xf numFmtId="0" fontId="44" fillId="0" borderId="18" xfId="3" applyFont="1" applyBorder="1" applyAlignment="1" applyProtection="1">
      <alignment horizontal="right" vertical="center" wrapText="1"/>
      <protection hidden="1"/>
    </xf>
    <xf numFmtId="165" fontId="44" fillId="0" borderId="17" xfId="5" applyFont="1" applyFill="1" applyBorder="1" applyAlignment="1" applyProtection="1">
      <alignment horizontal="right" vertical="center"/>
      <protection hidden="1"/>
    </xf>
    <xf numFmtId="168" fontId="43" fillId="0" borderId="24" xfId="5" applyNumberFormat="1" applyFont="1" applyFill="1" applyBorder="1" applyAlignment="1" applyProtection="1">
      <alignment horizontal="center" vertical="center"/>
      <protection hidden="1"/>
    </xf>
    <xf numFmtId="165" fontId="43" fillId="0" borderId="21" xfId="5" applyFont="1" applyFill="1" applyBorder="1" applyAlignment="1" applyProtection="1">
      <alignment horizontal="center" vertical="center"/>
      <protection hidden="1"/>
    </xf>
    <xf numFmtId="165" fontId="43" fillId="0" borderId="21" xfId="3" applyNumberFormat="1" applyFont="1" applyBorder="1" applyAlignment="1" applyProtection="1">
      <alignment vertical="center"/>
      <protection locked="0"/>
    </xf>
    <xf numFmtId="165" fontId="43" fillId="0" borderId="17" xfId="5" applyFont="1" applyFill="1" applyBorder="1" applyAlignment="1" applyProtection="1">
      <alignment horizontal="right" vertical="center"/>
      <protection hidden="1"/>
    </xf>
    <xf numFmtId="165" fontId="43" fillId="0" borderId="21" xfId="5" applyFont="1" applyFill="1" applyBorder="1" applyAlignment="1" applyProtection="1">
      <alignment horizontal="center" vertical="center"/>
      <protection locked="0"/>
    </xf>
    <xf numFmtId="168" fontId="43" fillId="0" borderId="21" xfId="3" applyNumberFormat="1" applyFont="1" applyBorder="1" applyAlignment="1" applyProtection="1">
      <alignment horizontal="left" vertical="center"/>
      <protection locked="0"/>
    </xf>
    <xf numFmtId="0" fontId="43" fillId="0" borderId="21" xfId="3" applyFont="1" applyBorder="1" applyAlignment="1" applyProtection="1">
      <alignment horizontal="center" vertical="center"/>
      <protection locked="0"/>
    </xf>
    <xf numFmtId="164" fontId="43" fillId="0" borderId="21" xfId="3" applyNumberFormat="1" applyFont="1" applyBorder="1" applyAlignment="1" applyProtection="1">
      <alignment vertical="center"/>
      <protection hidden="1"/>
    </xf>
    <xf numFmtId="165" fontId="43" fillId="0" borderId="21" xfId="3" applyNumberFormat="1" applyFont="1" applyBorder="1" applyAlignment="1" applyProtection="1">
      <alignment horizontal="center" vertical="center"/>
      <protection hidden="1"/>
    </xf>
    <xf numFmtId="165" fontId="42" fillId="0" borderId="17" xfId="5" applyFont="1" applyFill="1" applyBorder="1" applyAlignment="1" applyProtection="1">
      <alignment horizontal="right" vertical="center"/>
      <protection hidden="1"/>
    </xf>
    <xf numFmtId="0" fontId="44" fillId="0" borderId="21" xfId="3" applyFont="1" applyBorder="1" applyAlignment="1" applyProtection="1">
      <alignment horizontal="right" vertical="center" wrapText="1"/>
      <protection hidden="1"/>
    </xf>
    <xf numFmtId="165" fontId="43" fillId="0" borderId="24" xfId="5" applyFont="1" applyFill="1" applyBorder="1" applyAlignment="1" applyProtection="1">
      <alignment horizontal="right" vertical="center"/>
      <protection hidden="1"/>
    </xf>
    <xf numFmtId="168" fontId="43" fillId="0" borderId="21" xfId="5" applyNumberFormat="1" applyFont="1" applyFill="1" applyBorder="1" applyAlignment="1" applyProtection="1">
      <alignment horizontal="center" vertical="center"/>
      <protection hidden="1"/>
    </xf>
    <xf numFmtId="165" fontId="65" fillId="0" borderId="18" xfId="5" applyFont="1" applyBorder="1" applyAlignment="1" applyProtection="1">
      <alignment horizontal="right" vertical="center"/>
      <protection hidden="1"/>
    </xf>
    <xf numFmtId="0" fontId="44" fillId="0" borderId="17" xfId="3" applyFont="1" applyBorder="1" applyAlignment="1" applyProtection="1">
      <alignment horizontal="center" vertical="center"/>
      <protection locked="0"/>
    </xf>
    <xf numFmtId="2" fontId="43" fillId="0" borderId="11" xfId="3" applyNumberFormat="1" applyFont="1" applyBorder="1" applyAlignment="1" applyProtection="1">
      <alignment horizontal="right" vertical="center"/>
      <protection locked="0"/>
    </xf>
    <xf numFmtId="2" fontId="43" fillId="0" borderId="17" xfId="3" applyNumberFormat="1" applyFont="1" applyBorder="1" applyAlignment="1" applyProtection="1">
      <alignment horizontal="right" vertical="center"/>
      <protection locked="0"/>
    </xf>
    <xf numFmtId="0" fontId="43" fillId="0" borderId="24" xfId="3" applyFont="1" applyBorder="1" applyAlignment="1" applyProtection="1">
      <alignment vertical="center"/>
      <protection locked="0"/>
    </xf>
    <xf numFmtId="0" fontId="43" fillId="0" borderId="21" xfId="3" applyFont="1" applyBorder="1" applyAlignment="1" applyProtection="1">
      <alignment vertical="center"/>
      <protection locked="0"/>
    </xf>
    <xf numFmtId="0" fontId="43" fillId="0" borderId="18" xfId="3" applyFont="1" applyBorder="1" applyAlignment="1" applyProtection="1">
      <alignment vertical="center"/>
      <protection locked="0"/>
    </xf>
    <xf numFmtId="165" fontId="51" fillId="0" borderId="17" xfId="3" applyNumberFormat="1" applyFont="1" applyBorder="1" applyAlignment="1" applyProtection="1">
      <alignment horizontal="center" vertical="center"/>
      <protection hidden="1"/>
    </xf>
    <xf numFmtId="165" fontId="51" fillId="0" borderId="19" xfId="3" applyNumberFormat="1" applyFont="1" applyBorder="1" applyAlignment="1" applyProtection="1">
      <alignment horizontal="center" vertical="center"/>
      <protection hidden="1"/>
    </xf>
    <xf numFmtId="2" fontId="65" fillId="0" borderId="19" xfId="3" applyNumberFormat="1" applyFont="1" applyBorder="1" applyAlignment="1" applyProtection="1">
      <alignment horizontal="center" vertical="center"/>
      <protection hidden="1"/>
    </xf>
    <xf numFmtId="0" fontId="65" fillId="0" borderId="11" xfId="3" applyFont="1" applyBorder="1" applyAlignment="1" applyProtection="1">
      <alignment horizontal="center" vertical="center"/>
      <protection hidden="1"/>
    </xf>
    <xf numFmtId="0" fontId="65" fillId="0" borderId="0" xfId="3" applyFont="1" applyProtection="1">
      <protection locked="0"/>
    </xf>
    <xf numFmtId="0" fontId="65" fillId="0" borderId="0" xfId="3" applyFont="1" applyAlignment="1" applyProtection="1">
      <alignment horizontal="center" vertical="center"/>
      <protection locked="0"/>
    </xf>
    <xf numFmtId="0" fontId="65" fillId="0" borderId="0" xfId="3" applyFont="1" applyAlignment="1" applyProtection="1">
      <alignment horizontal="left"/>
      <protection locked="0"/>
    </xf>
    <xf numFmtId="0" fontId="65" fillId="0" borderId="0" xfId="3" applyFont="1" applyAlignment="1" applyProtection="1">
      <alignment horizontal="center"/>
      <protection locked="0"/>
    </xf>
    <xf numFmtId="3" fontId="65" fillId="0" borderId="0" xfId="3" applyNumberFormat="1" applyFont="1" applyProtection="1">
      <protection locked="0"/>
    </xf>
    <xf numFmtId="165" fontId="51" fillId="0" borderId="0" xfId="3" applyNumberFormat="1" applyFont="1" applyProtection="1">
      <protection locked="0"/>
    </xf>
    <xf numFmtId="0" fontId="51" fillId="0" borderId="0" xfId="3" applyFont="1" applyProtection="1">
      <protection hidden="1"/>
    </xf>
    <xf numFmtId="0" fontId="51" fillId="0" borderId="0" xfId="3" applyFont="1" applyProtection="1">
      <protection locked="0"/>
    </xf>
    <xf numFmtId="0" fontId="43" fillId="0" borderId="0" xfId="3" applyFont="1" applyAlignment="1" applyProtection="1">
      <alignment horizontal="left"/>
      <protection locked="0"/>
    </xf>
    <xf numFmtId="0" fontId="4" fillId="0" borderId="0" xfId="3" applyFont="1" applyAlignment="1" applyProtection="1">
      <alignment horizontal="center" vertical="center"/>
      <protection locked="0"/>
    </xf>
    <xf numFmtId="0" fontId="4" fillId="0" borderId="0" xfId="3" applyFont="1" applyAlignment="1" applyProtection="1">
      <alignment horizontal="left"/>
      <protection locked="0"/>
    </xf>
    <xf numFmtId="0" fontId="4" fillId="0" borderId="0" xfId="3" applyFont="1" applyAlignment="1" applyProtection="1">
      <alignment horizontal="center"/>
      <protection locked="0"/>
    </xf>
    <xf numFmtId="0" fontId="6" fillId="0" borderId="0" xfId="3" applyFont="1" applyProtection="1">
      <protection locked="0"/>
    </xf>
    <xf numFmtId="3" fontId="6" fillId="0" borderId="0" xfId="3" applyNumberFormat="1" applyFont="1" applyProtection="1">
      <protection locked="0"/>
    </xf>
    <xf numFmtId="0" fontId="38" fillId="0" borderId="0" xfId="3" quotePrefix="1" applyFont="1" applyProtection="1">
      <protection locked="0"/>
    </xf>
    <xf numFmtId="165" fontId="3" fillId="0" borderId="0" xfId="3" applyNumberFormat="1" applyFont="1" applyProtection="1">
      <protection locked="0"/>
    </xf>
    <xf numFmtId="0" fontId="51" fillId="0" borderId="0" xfId="3" applyNumberFormat="1" applyFont="1" applyProtection="1">
      <protection hidden="1"/>
    </xf>
    <xf numFmtId="0" fontId="22" fillId="0" borderId="0" xfId="3" applyFont="1" applyProtection="1">
      <protection locked="0"/>
    </xf>
    <xf numFmtId="0" fontId="69" fillId="0" borderId="0" xfId="3" applyFont="1" applyProtection="1">
      <protection locked="0"/>
    </xf>
    <xf numFmtId="0" fontId="19" fillId="0" borderId="0" xfId="3" applyFont="1" applyProtection="1">
      <protection locked="0"/>
    </xf>
    <xf numFmtId="0" fontId="19" fillId="0" borderId="0" xfId="3" applyFont="1" applyProtection="1">
      <protection hidden="1"/>
    </xf>
    <xf numFmtId="0" fontId="70" fillId="0" borderId="0" xfId="3" applyFont="1" applyAlignment="1" applyProtection="1">
      <alignment vertical="center"/>
      <protection hidden="1"/>
    </xf>
    <xf numFmtId="0" fontId="19" fillId="0" borderId="0" xfId="3" applyFont="1" applyAlignment="1" applyProtection="1">
      <alignment vertical="center"/>
      <protection hidden="1"/>
    </xf>
    <xf numFmtId="0" fontId="71" fillId="0" borderId="0" xfId="3" applyFont="1" applyAlignment="1" applyProtection="1">
      <alignment horizontal="center" wrapText="1" readingOrder="1"/>
      <protection locked="0"/>
    </xf>
    <xf numFmtId="0" fontId="72" fillId="0" borderId="0" xfId="3" applyFont="1" applyAlignment="1" applyProtection="1">
      <alignment horizontal="center" wrapText="1" readingOrder="1"/>
      <protection locked="0"/>
    </xf>
    <xf numFmtId="0" fontId="71" fillId="18" borderId="0" xfId="3" applyFont="1" applyFill="1" applyAlignment="1" applyProtection="1">
      <alignment horizontal="center" wrapText="1" readingOrder="1"/>
      <protection locked="0"/>
    </xf>
    <xf numFmtId="0" fontId="64" fillId="2" borderId="17" xfId="3" applyFont="1" applyFill="1" applyBorder="1" applyAlignment="1" applyProtection="1">
      <alignment horizontal="center" vertical="center" wrapText="1"/>
      <protection hidden="1"/>
    </xf>
    <xf numFmtId="0" fontId="64" fillId="2" borderId="24" xfId="3" applyFont="1" applyFill="1" applyBorder="1" applyAlignment="1" applyProtection="1">
      <alignment horizontal="center" vertical="center" wrapText="1"/>
      <protection hidden="1"/>
    </xf>
    <xf numFmtId="0" fontId="66" fillId="2" borderId="18" xfId="3" applyFont="1" applyFill="1" applyBorder="1" applyAlignment="1" applyProtection="1">
      <alignment horizontal="left" vertical="center" wrapText="1"/>
      <protection hidden="1"/>
    </xf>
    <xf numFmtId="0" fontId="66" fillId="19" borderId="21" xfId="3" applyFont="1" applyFill="1" applyBorder="1" applyAlignment="1" applyProtection="1">
      <alignment horizontal="left" vertical="center" wrapText="1"/>
      <protection hidden="1"/>
    </xf>
    <xf numFmtId="0" fontId="66" fillId="19" borderId="18" xfId="3" applyFont="1" applyFill="1" applyBorder="1" applyAlignment="1" applyProtection="1">
      <alignment horizontal="left" vertical="center" wrapText="1"/>
      <protection hidden="1"/>
    </xf>
    <xf numFmtId="0" fontId="73" fillId="0" borderId="0" xfId="3" applyFont="1" applyAlignment="1" applyProtection="1">
      <alignment horizontal="left" vertical="center" wrapText="1"/>
      <protection locked="0"/>
    </xf>
    <xf numFmtId="0" fontId="74" fillId="0" borderId="0" xfId="3" applyFont="1" applyAlignment="1" applyProtection="1">
      <alignment horizontal="left" vertical="center" wrapText="1" readingOrder="1"/>
      <protection locked="0"/>
    </xf>
    <xf numFmtId="2" fontId="75" fillId="0" borderId="0" xfId="3" applyNumberFormat="1" applyFont="1" applyAlignment="1" applyProtection="1">
      <alignment horizontal="center" vertical="center" wrapText="1" readingOrder="1"/>
      <protection locked="0"/>
    </xf>
    <xf numFmtId="0" fontId="76" fillId="11" borderId="23" xfId="3" applyFont="1" applyFill="1" applyBorder="1" applyAlignment="1" applyProtection="1">
      <alignment vertical="top" wrapText="1"/>
      <protection hidden="1"/>
    </xf>
    <xf numFmtId="0" fontId="76" fillId="11" borderId="24" xfId="3" applyFont="1" applyFill="1" applyBorder="1" applyAlignment="1" applyProtection="1">
      <alignment vertical="center" wrapText="1"/>
      <protection hidden="1"/>
    </xf>
    <xf numFmtId="0" fontId="76" fillId="11" borderId="18" xfId="3" applyFont="1" applyFill="1" applyBorder="1" applyAlignment="1" applyProtection="1">
      <alignment vertical="center" wrapText="1"/>
      <protection hidden="1"/>
    </xf>
    <xf numFmtId="0" fontId="76" fillId="11" borderId="21" xfId="3" applyFont="1" applyFill="1" applyBorder="1" applyAlignment="1" applyProtection="1">
      <alignment horizontal="left" vertical="center"/>
      <protection locked="0"/>
    </xf>
    <xf numFmtId="0" fontId="59" fillId="0" borderId="0" xfId="3" applyFont="1" applyAlignment="1" applyProtection="1">
      <alignment horizontal="left" vertical="center"/>
      <protection locked="0"/>
    </xf>
    <xf numFmtId="0" fontId="69" fillId="0" borderId="0" xfId="3" quotePrefix="1" applyFont="1" applyProtection="1">
      <protection locked="0"/>
    </xf>
    <xf numFmtId="0" fontId="55" fillId="11" borderId="23" xfId="3" applyFont="1" applyFill="1" applyBorder="1" applyAlignment="1" applyProtection="1">
      <alignment horizontal="center" vertical="center" wrapText="1"/>
      <protection hidden="1"/>
    </xf>
    <xf numFmtId="0" fontId="77" fillId="0" borderId="0" xfId="3" applyFont="1" applyProtection="1">
      <protection locked="0"/>
    </xf>
    <xf numFmtId="0" fontId="77" fillId="0" borderId="0" xfId="3" applyFont="1" applyAlignment="1" applyProtection="1">
      <alignment vertical="center"/>
      <protection locked="0"/>
    </xf>
    <xf numFmtId="0" fontId="76" fillId="11" borderId="17" xfId="3" applyFont="1" applyFill="1" applyBorder="1" applyAlignment="1" applyProtection="1">
      <alignment horizontal="left" vertical="center"/>
      <protection locked="0"/>
    </xf>
    <xf numFmtId="0" fontId="55" fillId="11" borderId="21" xfId="3" applyFont="1" applyFill="1" applyBorder="1" applyAlignment="1" applyProtection="1">
      <alignment horizontal="left" vertical="center"/>
      <protection locked="0"/>
    </xf>
    <xf numFmtId="0" fontId="55" fillId="11" borderId="18" xfId="3" applyFont="1" applyFill="1" applyBorder="1" applyAlignment="1" applyProtection="1">
      <alignment horizontal="left" vertical="center"/>
      <protection locked="0"/>
    </xf>
    <xf numFmtId="0" fontId="76" fillId="11" borderId="11" xfId="3" applyFont="1" applyFill="1" applyBorder="1" applyAlignment="1" applyProtection="1">
      <alignment vertical="top" wrapText="1"/>
      <protection hidden="1"/>
    </xf>
    <xf numFmtId="0" fontId="64" fillId="3" borderId="17" xfId="3" applyFont="1" applyFill="1" applyBorder="1" applyAlignment="1" applyProtection="1">
      <alignment horizontal="center" vertical="center" wrapText="1"/>
      <protection hidden="1"/>
    </xf>
    <xf numFmtId="0" fontId="66" fillId="3" borderId="18" xfId="3" applyFont="1" applyFill="1" applyBorder="1" applyAlignment="1" applyProtection="1">
      <alignment horizontal="left" vertical="center" wrapText="1"/>
      <protection hidden="1"/>
    </xf>
    <xf numFmtId="0" fontId="66" fillId="19" borderId="21" xfId="3" applyFont="1" applyFill="1" applyBorder="1" applyAlignment="1" applyProtection="1">
      <alignment horizontal="left" vertical="center" wrapText="1"/>
      <protection locked="0"/>
    </xf>
    <xf numFmtId="0" fontId="66" fillId="19" borderId="18" xfId="3" applyFont="1" applyFill="1" applyBorder="1" applyAlignment="1" applyProtection="1">
      <alignment horizontal="left" vertical="center" wrapText="1"/>
      <protection locked="0"/>
    </xf>
    <xf numFmtId="0" fontId="76" fillId="11" borderId="18" xfId="3" applyFont="1" applyFill="1" applyBorder="1" applyAlignment="1" applyProtection="1">
      <alignment vertical="center"/>
      <protection locked="0"/>
    </xf>
    <xf numFmtId="0" fontId="64" fillId="4" borderId="17" xfId="3" applyFont="1" applyFill="1" applyBorder="1" applyAlignment="1" applyProtection="1">
      <alignment horizontal="center" vertical="center" wrapText="1"/>
      <protection hidden="1"/>
    </xf>
    <xf numFmtId="0" fontId="64" fillId="4" borderId="24" xfId="3" applyFont="1" applyFill="1" applyBorder="1" applyAlignment="1" applyProtection="1">
      <alignment horizontal="center" vertical="center" wrapText="1"/>
      <protection hidden="1"/>
    </xf>
    <xf numFmtId="0" fontId="66" fillId="4" borderId="22" xfId="3" applyFont="1" applyFill="1" applyBorder="1" applyAlignment="1" applyProtection="1">
      <alignment horizontal="left" vertical="center" wrapText="1"/>
      <protection hidden="1"/>
    </xf>
    <xf numFmtId="0" fontId="76" fillId="11" borderId="21" xfId="3" applyFont="1" applyFill="1" applyBorder="1" applyAlignment="1" applyProtection="1">
      <alignment vertical="center" wrapText="1"/>
      <protection hidden="1"/>
    </xf>
    <xf numFmtId="0" fontId="76" fillId="0" borderId="21" xfId="3" applyFont="1" applyBorder="1" applyAlignment="1" applyProtection="1">
      <alignment vertical="center"/>
      <protection locked="0"/>
    </xf>
    <xf numFmtId="0" fontId="76" fillId="0" borderId="18" xfId="3" applyFont="1" applyBorder="1" applyAlignment="1" applyProtection="1">
      <alignment vertical="center"/>
      <protection locked="0"/>
    </xf>
    <xf numFmtId="0" fontId="59" fillId="0" borderId="0" xfId="3" applyFont="1" applyAlignment="1" applyProtection="1">
      <alignment vertical="center"/>
      <protection locked="0"/>
    </xf>
    <xf numFmtId="0" fontId="43" fillId="0" borderId="19" xfId="3" applyFont="1" applyBorder="1" applyAlignment="1" applyProtection="1">
      <alignment horizontal="left" vertical="center"/>
      <protection hidden="1"/>
    </xf>
    <xf numFmtId="0" fontId="43" fillId="0" borderId="23" xfId="3" applyFont="1" applyBorder="1" applyAlignment="1" applyProtection="1">
      <alignment horizontal="left" vertical="center"/>
      <protection hidden="1"/>
    </xf>
    <xf numFmtId="0" fontId="43" fillId="0" borderId="11" xfId="3" applyFont="1" applyBorder="1" applyAlignment="1" applyProtection="1">
      <alignment horizontal="left" vertical="center"/>
      <protection hidden="1"/>
    </xf>
    <xf numFmtId="0" fontId="67" fillId="0" borderId="0" xfId="3" applyFont="1" applyFill="1" applyAlignment="1" applyProtection="1">
      <alignment horizontal="center"/>
      <protection hidden="1"/>
    </xf>
    <xf numFmtId="0" fontId="68" fillId="0" borderId="0" xfId="3" applyFont="1" applyFill="1" applyAlignment="1" applyProtection="1">
      <alignment horizontal="center"/>
      <protection hidden="1"/>
    </xf>
    <xf numFmtId="0" fontId="22" fillId="0" borderId="0" xfId="3" applyFont="1" applyFill="1" applyAlignment="1" applyProtection="1">
      <alignment horizontal="left"/>
      <protection hidden="1"/>
    </xf>
    <xf numFmtId="0" fontId="76" fillId="0" borderId="17" xfId="3" applyFont="1" applyBorder="1" applyAlignment="1" applyProtection="1">
      <alignment horizontal="left" vertical="center"/>
      <protection locked="0"/>
    </xf>
    <xf numFmtId="0" fontId="76" fillId="11" borderId="18" xfId="3" applyFont="1" applyFill="1" applyBorder="1" applyAlignment="1" applyProtection="1">
      <alignment horizontal="left" vertical="center"/>
      <protection locked="0"/>
    </xf>
    <xf numFmtId="0" fontId="68" fillId="6" borderId="0" xfId="3" applyFont="1" applyFill="1" applyAlignment="1" applyProtection="1">
      <alignment horizontal="center"/>
      <protection hidden="1"/>
    </xf>
    <xf numFmtId="0" fontId="2" fillId="7" borderId="0" xfId="3" applyFill="1" applyProtection="1">
      <protection hidden="1"/>
    </xf>
    <xf numFmtId="0" fontId="2" fillId="20" borderId="0" xfId="3" applyFill="1" applyProtection="1">
      <protection hidden="1"/>
    </xf>
    <xf numFmtId="0" fontId="0" fillId="0" borderId="0" xfId="0" applyProtection="1"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14" fillId="0" borderId="4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14" fillId="0" borderId="5" xfId="0" applyFont="1" applyBorder="1" applyAlignment="1" applyProtection="1">
      <alignment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vertical="center"/>
      <protection hidden="1"/>
    </xf>
    <xf numFmtId="0" fontId="13" fillId="0" borderId="0" xfId="0" applyFont="1" applyBorder="1" applyAlignment="1" applyProtection="1">
      <alignment vertical="center"/>
      <protection hidden="1"/>
    </xf>
    <xf numFmtId="0" fontId="13" fillId="0" borderId="5" xfId="0" applyFont="1" applyBorder="1" applyAlignment="1" applyProtection="1">
      <alignment vertical="center"/>
      <protection hidden="1"/>
    </xf>
    <xf numFmtId="0" fontId="12" fillId="0" borderId="5" xfId="0" applyFont="1" applyBorder="1" applyAlignment="1" applyProtection="1">
      <alignment vertical="center"/>
      <protection hidden="1"/>
    </xf>
    <xf numFmtId="0" fontId="12" fillId="0" borderId="5" xfId="0" applyFont="1" applyBorder="1" applyAlignment="1" applyProtection="1">
      <alignment horizontal="left"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0" fillId="0" borderId="8" xfId="0" applyBorder="1" applyAlignment="1" applyProtection="1">
      <alignment vertical="center"/>
      <protection hidden="1"/>
    </xf>
    <xf numFmtId="2" fontId="45" fillId="11" borderId="17" xfId="3" applyNumberFormat="1" applyFont="1" applyFill="1" applyBorder="1" applyAlignment="1" applyProtection="1">
      <alignment horizontal="center" vertical="center"/>
      <protection locked="0"/>
    </xf>
    <xf numFmtId="2" fontId="47" fillId="0" borderId="17" xfId="3" applyNumberFormat="1" applyFont="1" applyBorder="1" applyAlignment="1" applyProtection="1">
      <alignment horizontal="center" vertical="center"/>
      <protection locked="0"/>
    </xf>
    <xf numFmtId="0" fontId="43" fillId="11" borderId="19" xfId="3" applyFont="1" applyFill="1" applyBorder="1" applyAlignment="1" applyProtection="1">
      <alignment horizontal="center" vertical="center"/>
      <protection locked="0"/>
    </xf>
    <xf numFmtId="0" fontId="49" fillId="0" borderId="11" xfId="3" applyFont="1" applyBorder="1" applyAlignment="1" applyProtection="1">
      <alignment horizontal="center" vertical="center"/>
      <protection locked="0"/>
    </xf>
    <xf numFmtId="0" fontId="50" fillId="0" borderId="24" xfId="3" applyFont="1" applyBorder="1" applyAlignment="1" applyProtection="1">
      <alignment horizontal="left" vertical="center"/>
      <protection locked="0"/>
    </xf>
    <xf numFmtId="0" fontId="51" fillId="0" borderId="21" xfId="3" applyFont="1" applyBorder="1" applyAlignment="1" applyProtection="1">
      <alignment horizontal="left" vertical="center" wrapText="1"/>
      <protection locked="0"/>
    </xf>
    <xf numFmtId="2" fontId="51" fillId="0" borderId="18" xfId="4" applyNumberFormat="1" applyFont="1" applyBorder="1" applyAlignment="1" applyProtection="1">
      <alignment horizontal="right" vertical="center" wrapText="1" indent="1"/>
      <protection locked="0"/>
    </xf>
    <xf numFmtId="0" fontId="43" fillId="11" borderId="18" xfId="3" applyFont="1" applyFill="1" applyBorder="1" applyAlignment="1" applyProtection="1">
      <alignment horizontal="center" vertical="center"/>
      <protection locked="0"/>
    </xf>
    <xf numFmtId="0" fontId="43" fillId="11" borderId="24" xfId="3" applyFont="1" applyFill="1" applyBorder="1" applyAlignment="1" applyProtection="1">
      <alignment horizontal="center" vertical="center"/>
      <protection locked="0"/>
    </xf>
    <xf numFmtId="2" fontId="45" fillId="11" borderId="21" xfId="3" applyNumberFormat="1" applyFont="1" applyFill="1" applyBorder="1" applyAlignment="1" applyProtection="1">
      <alignment horizontal="center" vertical="center"/>
      <protection locked="0"/>
    </xf>
    <xf numFmtId="0" fontId="51" fillId="0" borderId="17" xfId="3" applyFont="1" applyBorder="1" applyAlignment="1" applyProtection="1">
      <alignment horizontal="center" vertical="center"/>
      <protection locked="0"/>
    </xf>
    <xf numFmtId="0" fontId="43" fillId="0" borderId="18" xfId="3" applyFont="1" applyBorder="1" applyProtection="1">
      <protection locked="0"/>
    </xf>
    <xf numFmtId="0" fontId="51" fillId="0" borderId="0" xfId="3" applyFont="1" applyAlignment="1" applyProtection="1">
      <alignment horizontal="center" vertical="center"/>
      <protection locked="0"/>
    </xf>
    <xf numFmtId="0" fontId="51" fillId="0" borderId="0" xfId="3" applyFont="1" applyAlignment="1" applyProtection="1">
      <alignment horizontal="left" vertical="center" wrapText="1"/>
      <protection locked="0"/>
    </xf>
    <xf numFmtId="0" fontId="6" fillId="0" borderId="0" xfId="3" applyFont="1" applyAlignment="1" applyProtection="1">
      <alignment horizontal="center" vertical="center"/>
      <protection locked="0"/>
    </xf>
    <xf numFmtId="0" fontId="6" fillId="0" borderId="0" xfId="3" applyFont="1" applyAlignment="1" applyProtection="1">
      <alignment horizontal="left" vertical="center" wrapText="1"/>
      <protection locked="0"/>
    </xf>
    <xf numFmtId="2" fontId="6" fillId="0" borderId="0" xfId="4" applyNumberFormat="1" applyFont="1" applyBorder="1" applyAlignment="1" applyProtection="1">
      <alignment horizontal="right" vertical="center" wrapText="1" indent="1"/>
      <protection locked="0"/>
    </xf>
    <xf numFmtId="0" fontId="38" fillId="0" borderId="0" xfId="3" applyFont="1" applyProtection="1">
      <protection hidden="1"/>
    </xf>
    <xf numFmtId="0" fontId="41" fillId="0" borderId="0" xfId="3" applyFont="1" applyAlignment="1" applyProtection="1">
      <alignment vertical="center"/>
      <protection hidden="1"/>
    </xf>
    <xf numFmtId="0" fontId="38" fillId="0" borderId="0" xfId="3" applyFont="1" applyAlignment="1" applyProtection="1">
      <alignment vertical="center"/>
      <protection hidden="1"/>
    </xf>
    <xf numFmtId="0" fontId="41" fillId="0" borderId="0" xfId="3" applyFont="1" applyAlignment="1" applyProtection="1">
      <alignment vertical="center" wrapText="1"/>
      <protection hidden="1"/>
    </xf>
    <xf numFmtId="0" fontId="12" fillId="0" borderId="23" xfId="0" applyFont="1" applyBorder="1" applyAlignment="1" applyProtection="1">
      <alignment horizontal="center" vertical="top"/>
      <protection locked="0"/>
    </xf>
    <xf numFmtId="0" fontId="12" fillId="0" borderId="23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 indent="1"/>
      <protection locked="0"/>
    </xf>
    <xf numFmtId="0" fontId="12" fillId="0" borderId="0" xfId="0" quotePrefix="1" applyFont="1" applyBorder="1" applyAlignment="1" applyProtection="1">
      <alignment horizontal="right" vertical="center"/>
      <protection locked="0"/>
    </xf>
    <xf numFmtId="2" fontId="12" fillId="0" borderId="0" xfId="0" quotePrefix="1" applyNumberFormat="1" applyFont="1" applyBorder="1" applyAlignment="1" applyProtection="1">
      <alignment horizontal="right" vertical="center" indent="1"/>
      <protection locked="0"/>
    </xf>
    <xf numFmtId="2" fontId="12" fillId="0" borderId="0" xfId="0" quotePrefix="1" applyNumberFormat="1" applyFont="1" applyAlignment="1" applyProtection="1">
      <alignment horizontal="left" vertical="center" indent="1"/>
      <protection locked="0"/>
    </xf>
    <xf numFmtId="164" fontId="12" fillId="0" borderId="23" xfId="1" applyFont="1" applyBorder="1" applyAlignment="1" applyProtection="1">
      <alignment wrapText="1"/>
      <protection locked="0"/>
    </xf>
    <xf numFmtId="164" fontId="12" fillId="0" borderId="23" xfId="1" applyFont="1" applyBorder="1" applyAlignment="1" applyProtection="1">
      <alignment horizontal="center" vertical="center"/>
      <protection locked="0"/>
    </xf>
    <xf numFmtId="164" fontId="15" fillId="0" borderId="23" xfId="1" applyFont="1" applyBorder="1" applyAlignment="1" applyProtection="1">
      <alignment horizontal="center"/>
      <protection locked="0"/>
    </xf>
    <xf numFmtId="164" fontId="12" fillId="0" borderId="23" xfId="1" applyFont="1" applyBorder="1" applyAlignment="1" applyProtection="1">
      <alignment horizontal="center" vertical="top"/>
      <protection locked="0"/>
    </xf>
    <xf numFmtId="0" fontId="12" fillId="0" borderId="9" xfId="0" applyFont="1" applyBorder="1" applyAlignment="1" applyProtection="1">
      <alignment horizontal="left" vertical="center" indent="1"/>
      <protection locked="0"/>
    </xf>
    <xf numFmtId="0" fontId="12" fillId="0" borderId="10" xfId="0" quotePrefix="1" applyFont="1" applyBorder="1" applyAlignment="1" applyProtection="1">
      <alignment horizontal="right" vertical="center"/>
      <protection locked="0"/>
    </xf>
    <xf numFmtId="2" fontId="12" fillId="0" borderId="10" xfId="0" quotePrefix="1" applyNumberFormat="1" applyFont="1" applyBorder="1" applyAlignment="1" applyProtection="1">
      <alignment horizontal="right" vertical="center" indent="1"/>
      <protection locked="0"/>
    </xf>
    <xf numFmtId="0" fontId="12" fillId="0" borderId="26" xfId="0" applyFont="1" applyBorder="1" applyAlignment="1" applyProtection="1">
      <alignment vertical="center"/>
      <protection locked="0"/>
    </xf>
    <xf numFmtId="2" fontId="12" fillId="0" borderId="26" xfId="0" applyNumberFormat="1" applyFont="1" applyBorder="1" applyAlignment="1" applyProtection="1">
      <alignment horizontal="right" vertical="center" indent="1"/>
      <protection locked="0"/>
    </xf>
    <xf numFmtId="2" fontId="12" fillId="0" borderId="0" xfId="0" applyNumberFormat="1" applyFont="1" applyBorder="1" applyAlignment="1" applyProtection="1">
      <alignment horizontal="right" vertical="center" indent="1"/>
      <protection locked="0"/>
    </xf>
    <xf numFmtId="2" fontId="13" fillId="0" borderId="0" xfId="0" quotePrefix="1" applyNumberFormat="1" applyFont="1" applyAlignment="1" applyProtection="1">
      <alignment horizontal="right" vertical="center" indent="1"/>
      <protection locked="0"/>
    </xf>
    <xf numFmtId="0" fontId="11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Protection="1">
      <protection hidden="1"/>
    </xf>
    <xf numFmtId="0" fontId="19" fillId="0" borderId="0" xfId="0" applyFont="1" applyAlignment="1" applyProtection="1">
      <alignment vertical="center"/>
      <protection hidden="1"/>
    </xf>
    <xf numFmtId="0" fontId="13" fillId="2" borderId="17" xfId="0" applyFont="1" applyFill="1" applyBorder="1" applyAlignment="1" applyProtection="1">
      <alignment horizontal="center" vertical="center" wrapText="1"/>
      <protection hidden="1"/>
    </xf>
    <xf numFmtId="0" fontId="14" fillId="0" borderId="23" xfId="0" applyFont="1" applyBorder="1" applyAlignment="1" applyProtection="1">
      <alignment vertical="center"/>
      <protection hidden="1"/>
    </xf>
    <xf numFmtId="0" fontId="14" fillId="0" borderId="25" xfId="0" applyFont="1" applyBorder="1" applyAlignment="1" applyProtection="1">
      <alignment vertical="center"/>
      <protection hidden="1"/>
    </xf>
    <xf numFmtId="0" fontId="14" fillId="0" borderId="26" xfId="0" applyFont="1" applyBorder="1" applyAlignment="1" applyProtection="1">
      <alignment vertical="center"/>
      <protection hidden="1"/>
    </xf>
    <xf numFmtId="0" fontId="12" fillId="0" borderId="23" xfId="0" applyFont="1" applyBorder="1" applyAlignment="1" applyProtection="1">
      <alignment horizontal="center" vertical="top"/>
      <protection hidden="1"/>
    </xf>
    <xf numFmtId="15" fontId="12" fillId="0" borderId="26" xfId="0" quotePrefix="1" applyNumberFormat="1" applyFont="1" applyBorder="1" applyAlignment="1" applyProtection="1">
      <alignment vertical="top"/>
      <protection hidden="1"/>
    </xf>
    <xf numFmtId="2" fontId="12" fillId="0" borderId="0" xfId="0" applyNumberFormat="1" applyFont="1" applyBorder="1" applyAlignment="1" applyProtection="1">
      <alignment horizontal="right" vertical="top" wrapText="1" indent="1"/>
      <protection hidden="1"/>
    </xf>
    <xf numFmtId="2" fontId="13" fillId="0" borderId="26" xfId="0" applyNumberFormat="1" applyFont="1" applyBorder="1" applyAlignment="1" applyProtection="1">
      <alignment horizontal="right" vertical="top" wrapText="1" indent="1"/>
      <protection hidden="1"/>
    </xf>
    <xf numFmtId="0" fontId="12" fillId="0" borderId="23" xfId="0" applyFont="1" applyBorder="1" applyAlignment="1" applyProtection="1">
      <alignment vertical="center"/>
      <protection hidden="1"/>
    </xf>
    <xf numFmtId="15" fontId="12" fillId="0" borderId="0" xfId="0" quotePrefix="1" applyNumberFormat="1" applyFont="1" applyBorder="1" applyAlignment="1" applyProtection="1">
      <alignment vertical="top"/>
      <protection hidden="1"/>
    </xf>
    <xf numFmtId="165" fontId="12" fillId="0" borderId="25" xfId="0" applyNumberFormat="1" applyFont="1" applyBorder="1" applyAlignment="1" applyProtection="1">
      <alignment horizontal="left" vertical="top" indent="1"/>
      <protection hidden="1"/>
    </xf>
    <xf numFmtId="0" fontId="12" fillId="0" borderId="0" xfId="0" applyFont="1" applyBorder="1" applyAlignment="1" applyProtection="1">
      <alignment vertical="top"/>
      <protection hidden="1"/>
    </xf>
    <xf numFmtId="2" fontId="12" fillId="0" borderId="0" xfId="0" applyNumberFormat="1" applyFont="1" applyBorder="1" applyAlignment="1" applyProtection="1">
      <alignment horizontal="right" vertical="top" indent="1"/>
      <protection hidden="1"/>
    </xf>
    <xf numFmtId="2" fontId="12" fillId="0" borderId="26" xfId="0" applyNumberFormat="1" applyFont="1" applyBorder="1" applyAlignment="1" applyProtection="1">
      <alignment horizontal="right" vertical="top" indent="1"/>
      <protection hidden="1"/>
    </xf>
    <xf numFmtId="0" fontId="12" fillId="0" borderId="23" xfId="0" applyFont="1" applyBorder="1" applyAlignment="1" applyProtection="1">
      <alignment horizontal="center" vertical="center"/>
      <protection hidden="1"/>
    </xf>
    <xf numFmtId="0" fontId="12" fillId="0" borderId="25" xfId="0" applyFont="1" applyBorder="1" applyAlignment="1" applyProtection="1">
      <alignment vertical="top" wrapText="1"/>
      <protection hidden="1"/>
    </xf>
    <xf numFmtId="0" fontId="12" fillId="0" borderId="26" xfId="0" applyFont="1" applyBorder="1" applyAlignment="1" applyProtection="1">
      <alignment vertical="top" wrapText="1"/>
      <protection hidden="1"/>
    </xf>
    <xf numFmtId="164" fontId="12" fillId="0" borderId="23" xfId="1" applyFont="1" applyBorder="1" applyAlignment="1" applyProtection="1">
      <alignment horizontal="center" wrapText="1"/>
      <protection hidden="1"/>
    </xf>
    <xf numFmtId="0" fontId="12" fillId="0" borderId="26" xfId="0" applyFont="1" applyBorder="1" applyAlignment="1" applyProtection="1">
      <alignment vertical="center"/>
      <protection hidden="1"/>
    </xf>
    <xf numFmtId="0" fontId="12" fillId="0" borderId="25" xfId="0" applyFont="1" applyBorder="1" applyAlignment="1" applyProtection="1">
      <alignment horizontal="left" vertical="center" indent="1"/>
      <protection hidden="1"/>
    </xf>
    <xf numFmtId="0" fontId="12" fillId="0" borderId="0" xfId="0" quotePrefix="1" applyFont="1" applyBorder="1" applyAlignment="1" applyProtection="1">
      <alignment horizontal="right" vertical="center"/>
      <protection hidden="1"/>
    </xf>
    <xf numFmtId="2" fontId="12" fillId="0" borderId="0" xfId="0" applyNumberFormat="1" applyFont="1" applyBorder="1" applyAlignment="1" applyProtection="1">
      <alignment horizontal="right" vertical="center" indent="1"/>
      <protection hidden="1"/>
    </xf>
    <xf numFmtId="2" fontId="20" fillId="0" borderId="0" xfId="0" quotePrefix="1" applyNumberFormat="1" applyFont="1" applyAlignment="1" applyProtection="1">
      <alignment horizontal="right" vertical="center" indent="1"/>
      <protection hidden="1"/>
    </xf>
    <xf numFmtId="0" fontId="11" fillId="0" borderId="11" xfId="0" applyFont="1" applyBorder="1" applyAlignment="1" applyProtection="1">
      <alignment vertical="center"/>
      <protection hidden="1"/>
    </xf>
    <xf numFmtId="0" fontId="11" fillId="0" borderId="10" xfId="0" applyFont="1" applyBorder="1" applyAlignment="1" applyProtection="1">
      <alignment vertical="center"/>
      <protection hidden="1"/>
    </xf>
    <xf numFmtId="0" fontId="11" fillId="0" borderId="12" xfId="0" applyFont="1" applyBorder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22" fillId="0" borderId="0" xfId="3" applyFont="1" applyAlignment="1" applyProtection="1">
      <alignment horizontal="left" vertical="center"/>
      <protection locked="0"/>
    </xf>
    <xf numFmtId="0" fontId="22" fillId="0" borderId="17" xfId="3" applyFont="1" applyBorder="1" applyAlignment="1" applyProtection="1">
      <alignment horizontal="left" vertical="center"/>
      <protection locked="0"/>
    </xf>
    <xf numFmtId="0" fontId="64" fillId="4" borderId="17" xfId="3" applyFont="1" applyFill="1" applyBorder="1" applyAlignment="1" applyProtection="1">
      <alignment horizontal="center" vertical="center" wrapText="1"/>
      <protection locked="0"/>
    </xf>
    <xf numFmtId="0" fontId="64" fillId="4" borderId="24" xfId="3" applyFont="1" applyFill="1" applyBorder="1" applyAlignment="1" applyProtection="1">
      <alignment horizontal="center" vertical="center" wrapText="1"/>
      <protection locked="0"/>
    </xf>
    <xf numFmtId="0" fontId="66" fillId="4" borderId="22" xfId="3" applyFont="1" applyFill="1" applyBorder="1" applyAlignment="1" applyProtection="1">
      <alignment horizontal="left" vertical="center" wrapText="1"/>
      <protection locked="0"/>
    </xf>
    <xf numFmtId="0" fontId="22" fillId="0" borderId="0" xfId="3" applyFont="1" applyProtection="1">
      <protection hidden="1"/>
    </xf>
    <xf numFmtId="0" fontId="66" fillId="0" borderId="0" xfId="3" applyFont="1" applyAlignment="1" applyProtection="1">
      <alignment horizontal="left" vertical="center" wrapText="1"/>
      <protection hidden="1"/>
    </xf>
    <xf numFmtId="0" fontId="73" fillId="0" borderId="0" xfId="3" applyFont="1" applyAlignment="1" applyProtection="1">
      <alignment horizontal="left" vertical="center" wrapText="1"/>
      <protection hidden="1"/>
    </xf>
    <xf numFmtId="0" fontId="64" fillId="3" borderId="24" xfId="3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Protection="1">
      <protection locked="0"/>
    </xf>
    <xf numFmtId="0" fontId="9" fillId="0" borderId="0" xfId="0" applyFont="1" applyAlignment="1" applyProtection="1">
      <alignment horizontal="center"/>
      <protection hidden="1"/>
    </xf>
    <xf numFmtId="0" fontId="17" fillId="0" borderId="17" xfId="0" applyFont="1" applyBorder="1" applyAlignment="1" applyProtection="1">
      <alignment horizontal="center"/>
      <protection hidden="1"/>
    </xf>
    <xf numFmtId="0" fontId="19" fillId="0" borderId="17" xfId="0" applyFont="1" applyBorder="1" applyAlignment="1" applyProtection="1">
      <alignment horizontal="center" shrinkToFit="1"/>
      <protection hidden="1"/>
    </xf>
    <xf numFmtId="0" fontId="19" fillId="0" borderId="17" xfId="0" applyFont="1" applyBorder="1" applyAlignment="1" applyProtection="1">
      <alignment horizontal="left" shrinkToFit="1"/>
      <protection hidden="1"/>
    </xf>
    <xf numFmtId="0" fontId="19" fillId="0" borderId="24" xfId="0" applyFont="1" applyBorder="1" applyAlignment="1" applyProtection="1">
      <alignment horizontal="left" shrinkToFit="1"/>
      <protection hidden="1"/>
    </xf>
    <xf numFmtId="0" fontId="19" fillId="0" borderId="17" xfId="0" applyFont="1" applyBorder="1" applyAlignment="1" applyProtection="1">
      <alignment shrinkToFit="1"/>
      <protection hidden="1"/>
    </xf>
    <xf numFmtId="0" fontId="14" fillId="0" borderId="0" xfId="0" applyFont="1" applyBorder="1" applyAlignment="1" applyProtection="1">
      <alignment horizontal="center" shrinkToFit="1"/>
      <protection hidden="1"/>
    </xf>
    <xf numFmtId="0" fontId="14" fillId="0" borderId="0" xfId="0" applyFont="1" applyBorder="1" applyAlignment="1" applyProtection="1">
      <alignment shrinkToFit="1"/>
      <protection hidden="1"/>
    </xf>
    <xf numFmtId="0" fontId="14" fillId="0" borderId="0" xfId="0" applyFont="1" applyBorder="1" applyAlignment="1" applyProtection="1">
      <alignment horizontal="left" shrinkToFit="1"/>
      <protection hidden="1"/>
    </xf>
    <xf numFmtId="0" fontId="14" fillId="0" borderId="17" xfId="0" applyFont="1" applyBorder="1" applyAlignment="1" applyProtection="1">
      <alignment horizontal="center" shrinkToFit="1"/>
      <protection hidden="1"/>
    </xf>
    <xf numFmtId="0" fontId="12" fillId="0" borderId="17" xfId="0" applyFont="1" applyBorder="1" applyAlignment="1" applyProtection="1">
      <alignment vertical="center" shrinkToFit="1"/>
      <protection hidden="1"/>
    </xf>
    <xf numFmtId="0" fontId="17" fillId="2" borderId="19" xfId="0" applyFont="1" applyFill="1" applyBorder="1" applyAlignment="1" applyProtection="1">
      <alignment horizontal="center" vertical="center"/>
      <protection hidden="1"/>
    </xf>
    <xf numFmtId="0" fontId="19" fillId="0" borderId="17" xfId="0" applyFont="1" applyFill="1" applyBorder="1" applyAlignment="1" applyProtection="1">
      <alignment horizontal="right" vertical="center"/>
      <protection hidden="1"/>
    </xf>
    <xf numFmtId="0" fontId="5" fillId="0" borderId="0" xfId="0" applyFont="1" applyProtection="1">
      <protection hidden="1"/>
    </xf>
    <xf numFmtId="0" fontId="4" fillId="0" borderId="0" xfId="0" applyFont="1" applyFill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protection hidden="1"/>
    </xf>
    <xf numFmtId="0" fontId="6" fillId="0" borderId="0" xfId="0" applyFont="1" applyProtection="1">
      <protection hidden="1"/>
    </xf>
    <xf numFmtId="0" fontId="12" fillId="0" borderId="0" xfId="0" applyFont="1" applyAlignment="1" applyProtection="1">
      <protection hidden="1"/>
    </xf>
    <xf numFmtId="0" fontId="8" fillId="0" borderId="0" xfId="0" applyFo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31" fillId="0" borderId="0" xfId="0" applyFont="1" applyAlignment="1" applyProtection="1">
      <protection hidden="1"/>
    </xf>
    <xf numFmtId="0" fontId="15" fillId="0" borderId="0" xfId="0" applyFont="1" applyAlignment="1" applyProtection="1">
      <protection hidden="1"/>
    </xf>
    <xf numFmtId="0" fontId="6" fillId="0" borderId="0" xfId="0" applyFont="1" applyAlignment="1" applyProtection="1">
      <alignment horizontal="center"/>
      <protection hidden="1"/>
    </xf>
    <xf numFmtId="0" fontId="17" fillId="0" borderId="17" xfId="0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shrinkToFit="1"/>
      <protection hidden="1"/>
    </xf>
    <xf numFmtId="0" fontId="12" fillId="0" borderId="17" xfId="0" applyFont="1" applyBorder="1" applyAlignment="1" applyProtection="1">
      <alignment horizontal="left" shrinkToFit="1"/>
      <protection hidden="1"/>
    </xf>
    <xf numFmtId="0" fontId="12" fillId="0" borderId="24" xfId="0" applyFont="1" applyBorder="1" applyAlignment="1" applyProtection="1">
      <alignment horizontal="left" shrinkToFit="1"/>
      <protection hidden="1"/>
    </xf>
    <xf numFmtId="0" fontId="12" fillId="0" borderId="17" xfId="0" applyFont="1" applyBorder="1" applyAlignment="1" applyProtection="1">
      <alignment shrinkToFit="1"/>
      <protection hidden="1"/>
    </xf>
    <xf numFmtId="0" fontId="18" fillId="2" borderId="19" xfId="0" applyFont="1" applyFill="1" applyBorder="1" applyAlignment="1" applyProtection="1">
      <alignment horizontal="center" vertical="center"/>
      <protection hidden="1"/>
    </xf>
    <xf numFmtId="0" fontId="4" fillId="2" borderId="19" xfId="0" applyFont="1" applyFill="1" applyBorder="1" applyAlignment="1" applyProtection="1">
      <alignment horizontal="center" vertical="center"/>
      <protection hidden="1"/>
    </xf>
    <xf numFmtId="0" fontId="17" fillId="0" borderId="17" xfId="0" applyFont="1" applyFill="1" applyBorder="1" applyAlignment="1" applyProtection="1">
      <alignment horizontal="right" vertical="center"/>
      <protection hidden="1"/>
    </xf>
    <xf numFmtId="0" fontId="6" fillId="5" borderId="17" xfId="0" applyFont="1" applyFill="1" applyBorder="1" applyAlignment="1" applyProtection="1">
      <alignment horizontal="center" vertical="center"/>
      <protection hidden="1"/>
    </xf>
    <xf numFmtId="0" fontId="30" fillId="0" borderId="0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 wrapText="1"/>
      <protection hidden="1"/>
    </xf>
    <xf numFmtId="164" fontId="12" fillId="0" borderId="0" xfId="0" applyNumberFormat="1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64" fillId="0" borderId="0" xfId="3" applyFont="1" applyAlignment="1" applyProtection="1">
      <alignment horizontal="left" vertical="center"/>
      <protection hidden="1"/>
    </xf>
    <xf numFmtId="0" fontId="59" fillId="0" borderId="0" xfId="3" applyFont="1" applyAlignment="1" applyProtection="1">
      <alignment horizontal="left" vertical="center"/>
      <protection hidden="1"/>
    </xf>
    <xf numFmtId="0" fontId="64" fillId="0" borderId="0" xfId="3" applyFont="1" applyAlignment="1" applyProtection="1">
      <alignment vertical="center"/>
      <protection hidden="1"/>
    </xf>
    <xf numFmtId="0" fontId="59" fillId="0" borderId="0" xfId="3" applyFont="1" applyAlignment="1" applyProtection="1">
      <alignment vertical="center"/>
      <protection hidden="1"/>
    </xf>
    <xf numFmtId="0" fontId="42" fillId="0" borderId="12" xfId="3" applyFont="1" applyBorder="1" applyAlignment="1" applyProtection="1">
      <alignment horizontal="center" vertical="center" wrapText="1"/>
      <protection hidden="1"/>
    </xf>
    <xf numFmtId="0" fontId="80" fillId="0" borderId="0" xfId="6" applyProtection="1">
      <protection locked="0"/>
    </xf>
    <xf numFmtId="0" fontId="80" fillId="0" borderId="0" xfId="6" applyAlignment="1" applyProtection="1">
      <alignment vertical="center"/>
      <protection locked="0"/>
    </xf>
    <xf numFmtId="0" fontId="80" fillId="0" borderId="0" xfId="6" applyAlignment="1" applyProtection="1">
      <alignment wrapText="1"/>
      <protection locked="0"/>
    </xf>
    <xf numFmtId="0" fontId="80" fillId="0" borderId="0" xfId="6" applyAlignment="1" applyProtection="1">
      <alignment horizontal="center" vertical="center"/>
      <protection locked="0"/>
    </xf>
    <xf numFmtId="0" fontId="80" fillId="0" borderId="0" xfId="6" applyAlignment="1" applyProtection="1">
      <alignment horizontal="center"/>
      <protection locked="0"/>
    </xf>
    <xf numFmtId="0" fontId="80" fillId="0" borderId="23" xfId="6" applyBorder="1" applyProtection="1">
      <protection locked="0"/>
    </xf>
    <xf numFmtId="0" fontId="80" fillId="0" borderId="0" xfId="6" applyAlignment="1" applyProtection="1">
      <alignment horizontal="center" vertical="center" wrapText="1"/>
      <protection locked="0"/>
    </xf>
    <xf numFmtId="0" fontId="80" fillId="0" borderId="11" xfId="6" applyBorder="1" applyProtection="1">
      <protection locked="0"/>
    </xf>
    <xf numFmtId="0" fontId="80" fillId="0" borderId="0" xfId="6" applyAlignment="1" applyProtection="1">
      <alignment vertical="center" wrapText="1"/>
      <protection locked="0"/>
    </xf>
    <xf numFmtId="0" fontId="11" fillId="0" borderId="0" xfId="6" applyFont="1" applyAlignment="1" applyProtection="1">
      <alignment vertical="center"/>
      <protection locked="0"/>
    </xf>
    <xf numFmtId="0" fontId="11" fillId="0" borderId="0" xfId="6" applyFont="1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82" fillId="2" borderId="0" xfId="6" applyFont="1" applyFill="1" applyProtection="1">
      <protection locked="0"/>
    </xf>
    <xf numFmtId="0" fontId="80" fillId="2" borderId="0" xfId="6" applyFill="1" applyProtection="1">
      <protection locked="0"/>
    </xf>
    <xf numFmtId="9" fontId="80" fillId="0" borderId="17" xfId="6" applyNumberFormat="1" applyBorder="1" applyAlignment="1" applyProtection="1">
      <alignment horizontal="center" vertical="center"/>
      <protection locked="0"/>
    </xf>
    <xf numFmtId="9" fontId="80" fillId="0" borderId="19" xfId="6" applyNumberFormat="1" applyBorder="1" applyAlignment="1" applyProtection="1">
      <alignment horizontal="center" vertical="center"/>
      <protection locked="0"/>
    </xf>
    <xf numFmtId="0" fontId="80" fillId="0" borderId="11" xfId="6" applyBorder="1" applyAlignment="1" applyProtection="1">
      <alignment horizontal="center"/>
      <protection locked="0"/>
    </xf>
    <xf numFmtId="0" fontId="80" fillId="2" borderId="0" xfId="6" applyFill="1" applyAlignment="1" applyProtection="1">
      <alignment horizontal="left"/>
      <protection locked="0"/>
    </xf>
    <xf numFmtId="0" fontId="80" fillId="2" borderId="0" xfId="6" applyFill="1" applyAlignment="1" applyProtection="1">
      <alignment horizontal="center" vertical="center"/>
      <protection locked="0"/>
    </xf>
    <xf numFmtId="0" fontId="80" fillId="0" borderId="17" xfId="6" applyBorder="1" applyProtection="1">
      <protection locked="0"/>
    </xf>
    <xf numFmtId="0" fontId="80" fillId="0" borderId="19" xfId="6" applyBorder="1" applyProtection="1">
      <protection locked="0"/>
    </xf>
    <xf numFmtId="0" fontId="80" fillId="0" borderId="21" xfId="6" applyBorder="1" applyAlignment="1" applyProtection="1">
      <alignment vertical="top"/>
      <protection locked="0"/>
    </xf>
    <xf numFmtId="0" fontId="80" fillId="0" borderId="18" xfId="6" applyBorder="1" applyAlignment="1" applyProtection="1">
      <alignment vertical="top"/>
      <protection locked="0"/>
    </xf>
    <xf numFmtId="2" fontId="82" fillId="0" borderId="17" xfId="6" applyNumberFormat="1" applyFont="1" applyBorder="1" applyAlignment="1" applyProtection="1">
      <alignment horizontal="center" vertical="center"/>
      <protection locked="0"/>
    </xf>
    <xf numFmtId="0" fontId="43" fillId="0" borderId="0" xfId="3" applyFont="1" applyBorder="1" applyAlignment="1" applyProtection="1">
      <alignment vertical="center"/>
      <protection hidden="1"/>
    </xf>
    <xf numFmtId="0" fontId="43" fillId="0" borderId="10" xfId="3" applyFont="1" applyBorder="1" applyAlignment="1" applyProtection="1">
      <alignment vertical="center"/>
      <protection hidden="1"/>
    </xf>
    <xf numFmtId="0" fontId="43" fillId="0" borderId="27" xfId="3" applyFont="1" applyBorder="1" applyAlignment="1" applyProtection="1">
      <alignment vertical="center"/>
      <protection hidden="1"/>
    </xf>
    <xf numFmtId="0" fontId="43" fillId="0" borderId="26" xfId="3" applyFont="1" applyBorder="1" applyAlignment="1" applyProtection="1">
      <alignment vertical="center"/>
      <protection hidden="1"/>
    </xf>
    <xf numFmtId="0" fontId="43" fillId="0" borderId="12" xfId="3" applyFont="1" applyBorder="1" applyAlignment="1" applyProtection="1">
      <alignment vertical="center"/>
      <protection hidden="1"/>
    </xf>
    <xf numFmtId="0" fontId="43" fillId="0" borderId="22" xfId="3" applyFont="1" applyBorder="1" applyAlignment="1" applyProtection="1">
      <alignment vertical="center"/>
      <protection hidden="1"/>
    </xf>
    <xf numFmtId="0" fontId="39" fillId="0" borderId="0" xfId="3" applyFont="1" applyAlignment="1" applyProtection="1">
      <protection hidden="1"/>
    </xf>
    <xf numFmtId="0" fontId="43" fillId="0" borderId="25" xfId="3" applyFont="1" applyBorder="1" applyAlignment="1" applyProtection="1">
      <alignment horizontal="center" vertical="center"/>
      <protection hidden="1"/>
    </xf>
    <xf numFmtId="0" fontId="43" fillId="0" borderId="9" xfId="3" applyFont="1" applyBorder="1" applyAlignment="1" applyProtection="1">
      <alignment horizontal="center" vertical="center"/>
      <protection hidden="1"/>
    </xf>
    <xf numFmtId="0" fontId="38" fillId="0" borderId="0" xfId="3" applyFont="1" applyFill="1" applyProtection="1">
      <protection hidden="1"/>
    </xf>
    <xf numFmtId="0" fontId="41" fillId="0" borderId="0" xfId="3" applyFont="1" applyFill="1" applyAlignment="1" applyProtection="1">
      <alignment vertical="center"/>
      <protection hidden="1"/>
    </xf>
    <xf numFmtId="0" fontId="38" fillId="0" borderId="0" xfId="3" applyFont="1" applyFill="1" applyAlignment="1" applyProtection="1">
      <alignment vertical="center"/>
      <protection hidden="1"/>
    </xf>
    <xf numFmtId="0" fontId="41" fillId="0" borderId="0" xfId="3" applyFont="1" applyFill="1" applyAlignment="1" applyProtection="1">
      <alignment vertical="center" wrapText="1"/>
      <protection hidden="1"/>
    </xf>
    <xf numFmtId="0" fontId="39" fillId="0" borderId="0" xfId="3" applyFont="1" applyFill="1" applyAlignment="1" applyProtection="1">
      <protection hidden="1"/>
    </xf>
    <xf numFmtId="0" fontId="40" fillId="0" borderId="0" xfId="3" applyFont="1" applyFill="1" applyProtection="1">
      <protection hidden="1"/>
    </xf>
    <xf numFmtId="0" fontId="42" fillId="0" borderId="11" xfId="3" quotePrefix="1" applyFont="1" applyBorder="1" applyAlignment="1" applyProtection="1">
      <alignment horizontal="center" vertical="center" wrapText="1"/>
      <protection hidden="1"/>
    </xf>
    <xf numFmtId="0" fontId="42" fillId="0" borderId="17" xfId="3" quotePrefix="1" applyFont="1" applyBorder="1" applyAlignment="1" applyProtection="1">
      <alignment horizontal="center" vertical="center" wrapText="1"/>
      <protection hidden="1"/>
    </xf>
    <xf numFmtId="0" fontId="42" fillId="0" borderId="17" xfId="3" quotePrefix="1" applyFont="1" applyBorder="1" applyAlignment="1" applyProtection="1">
      <alignment horizontal="center" wrapText="1"/>
      <protection hidden="1"/>
    </xf>
    <xf numFmtId="0" fontId="80" fillId="0" borderId="0" xfId="6" applyFont="1" applyProtection="1">
      <protection locked="0"/>
    </xf>
    <xf numFmtId="0" fontId="6" fillId="26" borderId="17" xfId="0" applyFont="1" applyFill="1" applyBorder="1" applyAlignment="1" applyProtection="1">
      <alignment horizontal="center"/>
      <protection hidden="1"/>
    </xf>
    <xf numFmtId="0" fontId="0" fillId="0" borderId="17" xfId="0" applyBorder="1" applyProtection="1">
      <protection hidden="1"/>
    </xf>
    <xf numFmtId="0" fontId="6" fillId="0" borderId="17" xfId="0" applyFont="1" applyBorder="1" applyProtection="1">
      <protection hidden="1"/>
    </xf>
    <xf numFmtId="0" fontId="6" fillId="0" borderId="17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5" fillId="0" borderId="17" xfId="0" applyFont="1" applyBorder="1" applyProtection="1">
      <protection hidden="1"/>
    </xf>
    <xf numFmtId="166" fontId="0" fillId="0" borderId="17" xfId="0" applyNumberFormat="1" applyBorder="1" applyProtection="1">
      <protection hidden="1"/>
    </xf>
    <xf numFmtId="166" fontId="0" fillId="0" borderId="17" xfId="0" applyNumberFormat="1" applyBorder="1" applyProtection="1">
      <protection locked="0"/>
    </xf>
    <xf numFmtId="0" fontId="0" fillId="0" borderId="17" xfId="0" applyBorder="1" applyAlignment="1" applyProtection="1">
      <alignment vertical="top"/>
      <protection locked="0"/>
    </xf>
    <xf numFmtId="169" fontId="0" fillId="0" borderId="17" xfId="7" applyNumberFormat="1" applyFont="1" applyBorder="1" applyAlignment="1" applyProtection="1">
      <alignment vertical="top"/>
      <protection locked="0"/>
    </xf>
    <xf numFmtId="2" fontId="2" fillId="0" borderId="0" xfId="3" applyNumberFormat="1" applyProtection="1">
      <protection hidden="1"/>
    </xf>
    <xf numFmtId="2" fontId="2" fillId="0" borderId="0" xfId="3" applyNumberFormat="1" applyAlignment="1" applyProtection="1">
      <alignment vertical="center"/>
      <protection hidden="1"/>
    </xf>
    <xf numFmtId="0" fontId="68" fillId="6" borderId="0" xfId="3" applyFont="1" applyFill="1" applyAlignment="1" applyProtection="1">
      <alignment horizontal="center"/>
      <protection hidden="1"/>
    </xf>
    <xf numFmtId="0" fontId="76" fillId="11" borderId="18" xfId="3" applyFont="1" applyFill="1" applyBorder="1" applyAlignment="1" applyProtection="1">
      <alignment horizontal="left" vertical="center"/>
      <protection locked="0"/>
    </xf>
    <xf numFmtId="0" fontId="80" fillId="0" borderId="19" xfId="6" applyBorder="1" applyAlignment="1" applyProtection="1">
      <alignment horizontal="center" vertical="center"/>
      <protection locked="0"/>
    </xf>
    <xf numFmtId="0" fontId="80" fillId="0" borderId="23" xfId="6" applyBorder="1" applyAlignment="1" applyProtection="1">
      <alignment horizontal="center" vertical="center"/>
      <protection locked="0"/>
    </xf>
    <xf numFmtId="0" fontId="80" fillId="0" borderId="11" xfId="6" applyBorder="1" applyAlignment="1" applyProtection="1">
      <alignment horizontal="center" vertical="center"/>
      <protection locked="0"/>
    </xf>
    <xf numFmtId="0" fontId="80" fillId="0" borderId="0" xfId="6" applyAlignment="1">
      <alignment horizontal="center" vertical="top"/>
    </xf>
    <xf numFmtId="0" fontId="59" fillId="0" borderId="0" xfId="6" applyFont="1" applyAlignment="1">
      <alignment vertical="top"/>
    </xf>
    <xf numFmtId="0" fontId="80" fillId="0" borderId="0" xfId="6" applyAlignment="1">
      <alignment vertical="top"/>
    </xf>
    <xf numFmtId="0" fontId="89" fillId="0" borderId="46" xfId="6" applyFont="1" applyBorder="1" applyAlignment="1">
      <alignment horizontal="left" vertical="top" wrapText="1"/>
    </xf>
    <xf numFmtId="0" fontId="80" fillId="0" borderId="46" xfId="6" applyBorder="1" applyAlignment="1">
      <alignment vertical="top"/>
    </xf>
    <xf numFmtId="0" fontId="80" fillId="0" borderId="45" xfId="6" applyBorder="1" applyAlignment="1">
      <alignment horizontal="center" vertical="top"/>
    </xf>
    <xf numFmtId="0" fontId="80" fillId="0" borderId="39" xfId="6" applyBorder="1" applyAlignment="1">
      <alignment vertical="top"/>
    </xf>
    <xf numFmtId="0" fontId="80" fillId="0" borderId="40" xfId="6" applyBorder="1" applyAlignment="1">
      <alignment vertical="top"/>
    </xf>
    <xf numFmtId="0" fontId="89" fillId="0" borderId="45" xfId="8" applyFont="1" applyBorder="1" applyAlignment="1">
      <alignment vertical="top"/>
    </xf>
    <xf numFmtId="0" fontId="89" fillId="0" borderId="39" xfId="8" applyFont="1" applyBorder="1" applyAlignment="1">
      <alignment vertical="top"/>
    </xf>
    <xf numFmtId="0" fontId="89" fillId="0" borderId="40" xfId="8" applyFont="1" applyBorder="1" applyAlignment="1">
      <alignment vertical="top"/>
    </xf>
    <xf numFmtId="0" fontId="80" fillId="0" borderId="45" xfId="6" applyBorder="1" applyAlignment="1">
      <alignment vertical="top"/>
    </xf>
    <xf numFmtId="0" fontId="89" fillId="0" borderId="39" xfId="6" applyFont="1" applyBorder="1" applyAlignment="1">
      <alignment vertical="top"/>
    </xf>
    <xf numFmtId="0" fontId="89" fillId="0" borderId="40" xfId="6" applyFont="1" applyBorder="1" applyAlignment="1">
      <alignment vertical="top"/>
    </xf>
    <xf numFmtId="0" fontId="89" fillId="0" borderId="45" xfId="8" quotePrefix="1" applyFont="1" applyBorder="1" applyAlignment="1">
      <alignment vertical="top"/>
    </xf>
    <xf numFmtId="0" fontId="89" fillId="0" borderId="45" xfId="6" quotePrefix="1" applyFont="1" applyBorder="1" applyAlignment="1">
      <alignment vertical="top"/>
    </xf>
    <xf numFmtId="0" fontId="80" fillId="27" borderId="66" xfId="6" applyFill="1" applyBorder="1" applyAlignment="1">
      <alignment horizontal="center" vertical="center"/>
    </xf>
    <xf numFmtId="0" fontId="59" fillId="0" borderId="0" xfId="6" applyFont="1" applyAlignment="1">
      <alignment vertical="center"/>
    </xf>
    <xf numFmtId="0" fontId="80" fillId="24" borderId="66" xfId="6" quotePrefix="1" applyFill="1" applyBorder="1" applyAlignment="1">
      <alignment horizontal="center" vertical="top"/>
    </xf>
    <xf numFmtId="0" fontId="80" fillId="0" borderId="17" xfId="6" applyBorder="1" applyAlignment="1">
      <alignment horizontal="center" vertical="top"/>
    </xf>
    <xf numFmtId="0" fontId="80" fillId="0" borderId="56" xfId="6" applyBorder="1" applyAlignment="1">
      <alignment horizontal="center" vertical="top"/>
    </xf>
    <xf numFmtId="0" fontId="80" fillId="0" borderId="46" xfId="6" applyBorder="1" applyAlignment="1">
      <alignment horizontal="left" vertical="top" wrapText="1"/>
    </xf>
    <xf numFmtId="0" fontId="11" fillId="0" borderId="46" xfId="6" applyFont="1" applyBorder="1" applyAlignment="1">
      <alignment horizontal="left" vertical="top"/>
    </xf>
    <xf numFmtId="0" fontId="80" fillId="0" borderId="46" xfId="6" applyBorder="1" applyAlignment="1">
      <alignment horizontal="center" vertical="top" wrapText="1"/>
    </xf>
    <xf numFmtId="0" fontId="11" fillId="0" borderId="46" xfId="6" applyFont="1" applyBorder="1" applyAlignment="1">
      <alignment vertical="top"/>
    </xf>
    <xf numFmtId="0" fontId="11" fillId="0" borderId="65" xfId="6" applyFont="1" applyBorder="1" applyAlignment="1">
      <alignment vertical="top"/>
    </xf>
    <xf numFmtId="0" fontId="80" fillId="0" borderId="66" xfId="6" applyBorder="1" applyAlignment="1">
      <alignment horizontal="center" vertical="top"/>
    </xf>
    <xf numFmtId="0" fontId="80" fillId="0" borderId="17" xfId="6" applyBorder="1" applyAlignment="1">
      <alignment vertical="top" wrapText="1"/>
    </xf>
    <xf numFmtId="0" fontId="93" fillId="2" borderId="0" xfId="6" applyFont="1" applyFill="1" applyProtection="1">
      <protection locked="0"/>
    </xf>
    <xf numFmtId="9" fontId="80" fillId="0" borderId="23" xfId="6" applyNumberFormat="1" applyBorder="1" applyAlignment="1" applyProtection="1">
      <alignment horizontal="center" vertical="center"/>
      <protection locked="0"/>
    </xf>
    <xf numFmtId="166" fontId="94" fillId="11" borderId="23" xfId="3" applyNumberFormat="1" applyFont="1" applyFill="1" applyBorder="1" applyAlignment="1" applyProtection="1">
      <alignment horizontal="center" vertical="center" wrapText="1"/>
      <protection hidden="1"/>
    </xf>
    <xf numFmtId="0" fontId="64" fillId="3" borderId="17" xfId="3" applyFont="1" applyFill="1" applyBorder="1" applyAlignment="1" applyProtection="1">
      <alignment horizontal="center" vertical="center" wrapText="1"/>
      <protection locked="0"/>
    </xf>
    <xf numFmtId="0" fontId="64" fillId="3" borderId="24" xfId="3" applyFont="1" applyFill="1" applyBorder="1" applyAlignment="1" applyProtection="1">
      <alignment horizontal="center" vertical="center" wrapText="1"/>
      <protection locked="0"/>
    </xf>
    <xf numFmtId="0" fontId="66" fillId="3" borderId="18" xfId="3" applyFont="1" applyFill="1" applyBorder="1" applyAlignment="1" applyProtection="1">
      <alignment horizontal="left" vertical="center" wrapText="1"/>
      <protection locked="0"/>
    </xf>
    <xf numFmtId="0" fontId="69" fillId="0" borderId="0" xfId="3" applyFont="1" applyProtection="1">
      <protection hidden="1"/>
    </xf>
    <xf numFmtId="0" fontId="71" fillId="0" borderId="0" xfId="3" applyFont="1" applyAlignment="1" applyProtection="1">
      <alignment horizontal="center" wrapText="1" readingOrder="1"/>
      <protection hidden="1"/>
    </xf>
    <xf numFmtId="0" fontId="72" fillId="0" borderId="0" xfId="3" applyFont="1" applyAlignment="1" applyProtection="1">
      <alignment horizontal="center" wrapText="1" readingOrder="1"/>
      <protection hidden="1"/>
    </xf>
    <xf numFmtId="0" fontId="71" fillId="18" borderId="0" xfId="3" applyFont="1" applyFill="1" applyAlignment="1" applyProtection="1">
      <alignment horizontal="center" wrapText="1" readingOrder="1"/>
      <protection hidden="1"/>
    </xf>
    <xf numFmtId="0" fontId="74" fillId="0" borderId="0" xfId="3" applyFont="1" applyAlignment="1" applyProtection="1">
      <alignment horizontal="left" vertical="center" wrapText="1" readingOrder="1"/>
      <protection hidden="1"/>
    </xf>
    <xf numFmtId="2" fontId="75" fillId="0" borderId="0" xfId="3" applyNumberFormat="1" applyFont="1" applyAlignment="1" applyProtection="1">
      <alignment horizontal="center" vertical="center" wrapText="1" readingOrder="1"/>
      <protection hidden="1"/>
    </xf>
    <xf numFmtId="0" fontId="22" fillId="0" borderId="0" xfId="3" applyFont="1" applyAlignment="1" applyProtection="1">
      <alignment horizontal="left" vertical="center"/>
      <protection hidden="1"/>
    </xf>
    <xf numFmtId="0" fontId="69" fillId="0" borderId="0" xfId="3" quotePrefix="1" applyFont="1" applyProtection="1">
      <protection hidden="1"/>
    </xf>
    <xf numFmtId="0" fontId="77" fillId="0" borderId="0" xfId="3" applyFont="1" applyProtection="1">
      <protection hidden="1"/>
    </xf>
    <xf numFmtId="166" fontId="69" fillId="0" borderId="0" xfId="3" applyNumberFormat="1" applyFont="1" applyProtection="1">
      <protection hidden="1"/>
    </xf>
    <xf numFmtId="0" fontId="77" fillId="0" borderId="0" xfId="3" applyFont="1" applyAlignment="1" applyProtection="1">
      <alignment vertical="center"/>
      <protection hidden="1"/>
    </xf>
    <xf numFmtId="2" fontId="40" fillId="0" borderId="0" xfId="3" applyNumberFormat="1" applyFont="1" applyAlignment="1" applyProtection="1">
      <alignment horizontal="center" vertical="top"/>
      <protection hidden="1"/>
    </xf>
    <xf numFmtId="2" fontId="88" fillId="0" borderId="0" xfId="3" applyNumberFormat="1" applyFont="1" applyAlignment="1" applyProtection="1">
      <alignment horizontal="center" vertical="top"/>
      <protection hidden="1"/>
    </xf>
    <xf numFmtId="2" fontId="59" fillId="0" borderId="0" xfId="3" applyNumberFormat="1" applyFont="1" applyAlignment="1" applyProtection="1">
      <alignment horizontal="left" vertical="center"/>
      <protection hidden="1"/>
    </xf>
    <xf numFmtId="2" fontId="69" fillId="0" borderId="0" xfId="3" applyNumberFormat="1" applyFont="1" applyProtection="1">
      <protection hidden="1"/>
    </xf>
    <xf numFmtId="0" fontId="80" fillId="0" borderId="0" xfId="6" applyProtection="1">
      <protection hidden="1"/>
    </xf>
    <xf numFmtId="0" fontId="80" fillId="0" borderId="0" xfId="6" applyAlignment="1" applyProtection="1">
      <alignment wrapText="1"/>
      <protection hidden="1"/>
    </xf>
    <xf numFmtId="0" fontId="80" fillId="0" borderId="0" xfId="6" applyAlignment="1" applyProtection="1">
      <alignment horizontal="center" vertical="center"/>
      <protection hidden="1"/>
    </xf>
    <xf numFmtId="0" fontId="81" fillId="0" borderId="0" xfId="6" applyFont="1" applyAlignment="1" applyProtection="1">
      <alignment vertical="center"/>
      <protection hidden="1"/>
    </xf>
    <xf numFmtId="0" fontId="82" fillId="0" borderId="0" xfId="6" applyFont="1" applyProtection="1">
      <protection hidden="1"/>
    </xf>
    <xf numFmtId="0" fontId="82" fillId="0" borderId="0" xfId="6" applyFont="1" applyAlignment="1" applyProtection="1">
      <alignment wrapText="1"/>
      <protection hidden="1"/>
    </xf>
    <xf numFmtId="0" fontId="79" fillId="0" borderId="0" xfId="6" applyFont="1" applyProtection="1">
      <protection hidden="1"/>
    </xf>
    <xf numFmtId="0" fontId="1" fillId="0" borderId="0" xfId="6" applyFont="1" applyProtection="1">
      <protection hidden="1"/>
    </xf>
    <xf numFmtId="0" fontId="80" fillId="0" borderId="0" xfId="6" applyAlignment="1" applyProtection="1">
      <alignment vertical="top"/>
      <protection hidden="1"/>
    </xf>
    <xf numFmtId="0" fontId="79" fillId="0" borderId="0" xfId="6" applyFont="1" applyAlignment="1" applyProtection="1">
      <alignment horizontal="center"/>
      <protection hidden="1"/>
    </xf>
    <xf numFmtId="0" fontId="1" fillId="0" borderId="0" xfId="6" applyFont="1" applyFill="1" applyProtection="1">
      <protection hidden="1"/>
    </xf>
    <xf numFmtId="0" fontId="38" fillId="0" borderId="27" xfId="3" applyFont="1" applyFill="1" applyBorder="1" applyAlignment="1" applyProtection="1">
      <alignment vertical="center"/>
      <protection hidden="1"/>
    </xf>
    <xf numFmtId="0" fontId="38" fillId="0" borderId="0" xfId="3" applyFont="1" applyFill="1" applyBorder="1" applyAlignment="1" applyProtection="1">
      <alignment vertical="center"/>
      <protection hidden="1"/>
    </xf>
    <xf numFmtId="0" fontId="38" fillId="0" borderId="10" xfId="3" applyFont="1" applyFill="1" applyBorder="1" applyAlignment="1" applyProtection="1">
      <alignment vertical="center"/>
      <protection hidden="1"/>
    </xf>
    <xf numFmtId="2" fontId="40" fillId="11" borderId="17" xfId="3" applyNumberFormat="1" applyFont="1" applyFill="1" applyBorder="1" applyAlignment="1" applyProtection="1">
      <alignment horizontal="center" vertical="center"/>
      <protection hidden="1"/>
    </xf>
    <xf numFmtId="0" fontId="49" fillId="11" borderId="21" xfId="3" applyFont="1" applyFill="1" applyBorder="1" applyAlignment="1" applyProtection="1">
      <alignment vertical="top" wrapText="1"/>
      <protection hidden="1"/>
    </xf>
    <xf numFmtId="0" fontId="49" fillId="11" borderId="21" xfId="3" applyFont="1" applyFill="1" applyBorder="1" applyAlignment="1" applyProtection="1">
      <alignment vertical="center" wrapText="1"/>
      <protection hidden="1"/>
    </xf>
    <xf numFmtId="0" fontId="0" fillId="0" borderId="0" xfId="0" applyBorder="1" applyProtection="1">
      <protection hidden="1"/>
    </xf>
    <xf numFmtId="0" fontId="82" fillId="0" borderId="0" xfId="6" applyFont="1" applyAlignment="1" applyProtection="1">
      <alignment vertical="center"/>
      <protection hidden="1"/>
    </xf>
    <xf numFmtId="0" fontId="82" fillId="0" borderId="0" xfId="6" applyFont="1" applyAlignment="1" applyProtection="1">
      <alignment horizontal="left" vertical="center"/>
      <protection hidden="1"/>
    </xf>
    <xf numFmtId="0" fontId="80" fillId="0" borderId="0" xfId="6" applyAlignment="1" applyProtection="1">
      <alignment horizontal="left" vertical="center"/>
      <protection hidden="1"/>
    </xf>
    <xf numFmtId="0" fontId="80" fillId="0" borderId="24" xfId="6" applyBorder="1" applyAlignment="1" applyProtection="1">
      <alignment vertical="center"/>
      <protection hidden="1"/>
    </xf>
    <xf numFmtId="0" fontId="80" fillId="0" borderId="21" xfId="6" applyBorder="1" applyProtection="1">
      <protection hidden="1"/>
    </xf>
    <xf numFmtId="0" fontId="80" fillId="0" borderId="18" xfId="6" applyBorder="1" applyAlignment="1" applyProtection="1">
      <alignment wrapText="1"/>
      <protection hidden="1"/>
    </xf>
    <xf numFmtId="0" fontId="80" fillId="17" borderId="9" xfId="6" applyFill="1" applyBorder="1" applyProtection="1">
      <protection hidden="1"/>
    </xf>
    <xf numFmtId="0" fontId="80" fillId="17" borderId="10" xfId="6" applyFill="1" applyBorder="1" applyAlignment="1" applyProtection="1">
      <alignment horizontal="center" vertical="center"/>
      <protection hidden="1"/>
    </xf>
    <xf numFmtId="0" fontId="80" fillId="17" borderId="12" xfId="7" applyNumberFormat="1" applyFont="1" applyFill="1" applyBorder="1" applyAlignment="1" applyProtection="1">
      <alignment vertical="center"/>
      <protection hidden="1"/>
    </xf>
    <xf numFmtId="0" fontId="80" fillId="0" borderId="24" xfId="7" applyNumberFormat="1" applyFont="1" applyBorder="1" applyAlignment="1" applyProtection="1">
      <alignment vertical="center"/>
      <protection hidden="1"/>
    </xf>
    <xf numFmtId="0" fontId="80" fillId="0" borderId="18" xfId="6" applyBorder="1" applyProtection="1">
      <protection hidden="1"/>
    </xf>
    <xf numFmtId="0" fontId="80" fillId="17" borderId="24" xfId="6" applyFill="1" applyBorder="1" applyProtection="1">
      <protection hidden="1"/>
    </xf>
    <xf numFmtId="0" fontId="80" fillId="17" borderId="21" xfId="6" applyFill="1" applyBorder="1" applyAlignment="1" applyProtection="1">
      <alignment horizontal="center" vertical="center"/>
      <protection hidden="1"/>
    </xf>
    <xf numFmtId="0" fontId="80" fillId="17" borderId="18" xfId="7" applyNumberFormat="1" applyFont="1" applyFill="1" applyBorder="1" applyAlignment="1" applyProtection="1">
      <alignment vertical="center"/>
      <protection hidden="1"/>
    </xf>
    <xf numFmtId="0" fontId="80" fillId="0" borderId="21" xfId="6" applyBorder="1" applyAlignment="1" applyProtection="1">
      <alignment vertical="center"/>
      <protection hidden="1"/>
    </xf>
    <xf numFmtId="0" fontId="80" fillId="0" borderId="18" xfId="6" applyBorder="1" applyAlignment="1" applyProtection="1">
      <alignment vertical="center"/>
      <protection hidden="1"/>
    </xf>
    <xf numFmtId="0" fontId="80" fillId="17" borderId="24" xfId="6" applyFill="1" applyBorder="1" applyAlignment="1" applyProtection="1">
      <alignment vertical="center"/>
      <protection hidden="1"/>
    </xf>
    <xf numFmtId="0" fontId="6" fillId="17" borderId="18" xfId="7" applyNumberFormat="1" applyFont="1" applyFill="1" applyBorder="1" applyAlignment="1" applyProtection="1">
      <alignment vertical="center" wrapText="1"/>
      <protection hidden="1"/>
    </xf>
    <xf numFmtId="0" fontId="80" fillId="0" borderId="27" xfId="6" applyBorder="1" applyAlignment="1" applyProtection="1">
      <alignment vertical="center"/>
      <protection hidden="1"/>
    </xf>
    <xf numFmtId="0" fontId="80" fillId="0" borderId="22" xfId="6" applyBorder="1" applyAlignment="1" applyProtection="1">
      <alignment vertical="center"/>
      <protection hidden="1"/>
    </xf>
    <xf numFmtId="0" fontId="82" fillId="17" borderId="17" xfId="6" applyFont="1" applyFill="1" applyBorder="1" applyAlignment="1" applyProtection="1">
      <alignment horizontal="center" vertical="center" wrapText="1"/>
      <protection hidden="1"/>
    </xf>
    <xf numFmtId="0" fontId="82" fillId="25" borderId="50" xfId="6" quotePrefix="1" applyFont="1" applyFill="1" applyBorder="1" applyAlignment="1" applyProtection="1">
      <alignment horizontal="center" vertical="center"/>
      <protection hidden="1"/>
    </xf>
    <xf numFmtId="0" fontId="82" fillId="25" borderId="56" xfId="6" quotePrefix="1" applyFont="1" applyFill="1" applyBorder="1" applyAlignment="1" applyProtection="1">
      <alignment horizontal="center"/>
      <protection hidden="1"/>
    </xf>
    <xf numFmtId="0" fontId="82" fillId="25" borderId="56" xfId="6" quotePrefix="1" applyFont="1" applyFill="1" applyBorder="1" applyAlignment="1" applyProtection="1">
      <alignment horizontal="center" wrapText="1"/>
      <protection hidden="1"/>
    </xf>
    <xf numFmtId="0" fontId="85" fillId="17" borderId="63" xfId="6" quotePrefix="1" applyFont="1" applyFill="1" applyBorder="1" applyAlignment="1" applyProtection="1">
      <alignment horizontal="center" wrapText="1"/>
      <protection hidden="1"/>
    </xf>
    <xf numFmtId="0" fontId="85" fillId="17" borderId="17" xfId="6" quotePrefix="1" applyFont="1" applyFill="1" applyBorder="1" applyAlignment="1" applyProtection="1">
      <alignment horizontal="center" wrapText="1"/>
      <protection hidden="1"/>
    </xf>
    <xf numFmtId="0" fontId="85" fillId="17" borderId="39" xfId="6" quotePrefix="1" applyFont="1" applyFill="1" applyBorder="1" applyAlignment="1" applyProtection="1">
      <alignment horizontal="center" wrapText="1"/>
      <protection hidden="1"/>
    </xf>
    <xf numFmtId="0" fontId="80" fillId="17" borderId="19" xfId="6" applyFill="1" applyBorder="1" applyProtection="1">
      <protection hidden="1"/>
    </xf>
    <xf numFmtId="0" fontId="80" fillId="0" borderId="17" xfId="6" applyBorder="1" applyAlignment="1" applyProtection="1">
      <alignment horizontal="center" vertical="center" wrapText="1"/>
      <protection hidden="1"/>
    </xf>
    <xf numFmtId="0" fontId="11" fillId="0" borderId="34" xfId="6" applyFont="1" applyBorder="1" applyAlignment="1" applyProtection="1">
      <alignment vertical="center" wrapText="1"/>
      <protection hidden="1"/>
    </xf>
    <xf numFmtId="0" fontId="11" fillId="0" borderId="39" xfId="6" applyFont="1" applyBorder="1" applyAlignment="1" applyProtection="1">
      <alignment vertical="center" wrapText="1"/>
      <protection hidden="1"/>
    </xf>
    <xf numFmtId="0" fontId="11" fillId="0" borderId="51" xfId="6" applyFont="1" applyBorder="1" applyAlignment="1" applyProtection="1">
      <alignment vertical="center" wrapText="1"/>
      <protection hidden="1"/>
    </xf>
    <xf numFmtId="0" fontId="80" fillId="0" borderId="11" xfId="6" applyBorder="1" applyAlignment="1" applyProtection="1">
      <alignment horizontal="center" vertical="center" wrapText="1"/>
      <protection hidden="1"/>
    </xf>
    <xf numFmtId="0" fontId="11" fillId="0" borderId="46" xfId="6" applyFont="1" applyBorder="1" applyAlignment="1" applyProtection="1">
      <alignment vertical="center" wrapText="1"/>
      <protection hidden="1"/>
    </xf>
    <xf numFmtId="0" fontId="80" fillId="0" borderId="25" xfId="6" applyBorder="1" applyAlignment="1" applyProtection="1">
      <alignment horizontal="center" vertical="center"/>
      <protection hidden="1"/>
    </xf>
    <xf numFmtId="0" fontId="11" fillId="0" borderId="23" xfId="6" quotePrefix="1" applyFont="1" applyBorder="1" applyAlignment="1" applyProtection="1">
      <alignment horizontal="left" vertical="center" wrapText="1"/>
      <protection hidden="1"/>
    </xf>
    <xf numFmtId="0" fontId="80" fillId="0" borderId="9" xfId="6" applyBorder="1" applyAlignment="1" applyProtection="1">
      <alignment horizontal="center" vertical="center"/>
      <protection hidden="1"/>
    </xf>
    <xf numFmtId="0" fontId="11" fillId="0" borderId="11" xfId="6" quotePrefix="1" applyFont="1" applyBorder="1" applyAlignment="1" applyProtection="1">
      <alignment horizontal="left" vertical="center" wrapText="1"/>
      <protection hidden="1"/>
    </xf>
    <xf numFmtId="0" fontId="80" fillId="0" borderId="19" xfId="6" applyBorder="1" applyAlignment="1" applyProtection="1">
      <alignment vertical="center" wrapText="1"/>
      <protection hidden="1"/>
    </xf>
    <xf numFmtId="0" fontId="80" fillId="0" borderId="17" xfId="6" applyBorder="1" applyAlignment="1" applyProtection="1">
      <alignment horizontal="left" vertical="top" wrapText="1"/>
      <protection hidden="1"/>
    </xf>
    <xf numFmtId="0" fontId="11" fillId="0" borderId="24" xfId="6" applyFont="1" applyBorder="1" applyAlignment="1" applyProtection="1">
      <alignment vertical="center"/>
      <protection hidden="1"/>
    </xf>
    <xf numFmtId="0" fontId="11" fillId="0" borderId="18" xfId="6" applyFont="1" applyBorder="1" applyAlignment="1" applyProtection="1">
      <alignment vertical="center" wrapText="1"/>
      <protection hidden="1"/>
    </xf>
    <xf numFmtId="0" fontId="80" fillId="0" borderId="23" xfId="6" applyBorder="1" applyAlignment="1" applyProtection="1">
      <alignment vertical="center" wrapText="1"/>
      <protection hidden="1"/>
    </xf>
    <xf numFmtId="0" fontId="11" fillId="0" borderId="24" xfId="6" applyFont="1" applyBorder="1" applyAlignment="1" applyProtection="1">
      <alignment horizontal="right" vertical="center" wrapText="1"/>
      <protection hidden="1"/>
    </xf>
    <xf numFmtId="164" fontId="80" fillId="0" borderId="18" xfId="7" applyFont="1" applyBorder="1" applyAlignment="1" applyProtection="1">
      <alignment horizontal="left" vertical="center" wrapText="1"/>
      <protection hidden="1"/>
    </xf>
    <xf numFmtId="0" fontId="11" fillId="0" borderId="17" xfId="6" applyFont="1" applyBorder="1" applyAlignment="1" applyProtection="1">
      <alignment horizontal="left" vertical="top" wrapText="1"/>
      <protection hidden="1"/>
    </xf>
    <xf numFmtId="0" fontId="80" fillId="0" borderId="23" xfId="6" applyBorder="1" applyAlignment="1" applyProtection="1">
      <alignment horizontal="center" vertical="top"/>
      <protection hidden="1"/>
    </xf>
    <xf numFmtId="0" fontId="80" fillId="0" borderId="11" xfId="6" applyBorder="1" applyAlignment="1" applyProtection="1">
      <alignment horizontal="center" vertical="top"/>
      <protection hidden="1"/>
    </xf>
    <xf numFmtId="0" fontId="80" fillId="0" borderId="11" xfId="6" applyBorder="1" applyAlignment="1" applyProtection="1">
      <alignment vertical="center" wrapText="1"/>
      <protection hidden="1"/>
    </xf>
    <xf numFmtId="0" fontId="80" fillId="0" borderId="19" xfId="6" applyBorder="1" applyAlignment="1" applyProtection="1">
      <alignment horizontal="center" vertical="center"/>
      <protection hidden="1"/>
    </xf>
    <xf numFmtId="0" fontId="11" fillId="0" borderId="38" xfId="6" applyFont="1" applyBorder="1" applyAlignment="1" applyProtection="1">
      <alignment vertical="center"/>
      <protection hidden="1"/>
    </xf>
    <xf numFmtId="0" fontId="11" fillId="0" borderId="41" xfId="6" applyFont="1" applyBorder="1" applyAlignment="1" applyProtection="1">
      <alignment vertical="center" wrapText="1"/>
      <protection hidden="1"/>
    </xf>
    <xf numFmtId="0" fontId="80" fillId="0" borderId="23" xfId="6" applyBorder="1" applyAlignment="1" applyProtection="1">
      <alignment horizontal="center" vertical="center"/>
      <protection hidden="1"/>
    </xf>
    <xf numFmtId="0" fontId="11" fillId="0" borderId="54" xfId="6" applyFont="1" applyBorder="1" applyAlignment="1" applyProtection="1">
      <alignment vertical="center" wrapText="1"/>
      <protection hidden="1"/>
    </xf>
    <xf numFmtId="0" fontId="11" fillId="0" borderId="55" xfId="6" applyFont="1" applyBorder="1" applyAlignment="1" applyProtection="1">
      <alignment vertical="center" wrapText="1"/>
      <protection hidden="1"/>
    </xf>
    <xf numFmtId="0" fontId="11" fillId="0" borderId="42" xfId="6" applyFont="1" applyBorder="1" applyAlignment="1" applyProtection="1">
      <alignment vertical="center"/>
      <protection hidden="1"/>
    </xf>
    <xf numFmtId="0" fontId="11" fillId="0" borderId="44" xfId="6" applyFont="1" applyBorder="1" applyAlignment="1" applyProtection="1">
      <alignment vertical="center" wrapText="1"/>
      <protection hidden="1"/>
    </xf>
    <xf numFmtId="0" fontId="83" fillId="0" borderId="18" xfId="6" applyFont="1" applyBorder="1" applyAlignment="1" applyProtection="1">
      <alignment vertical="center" wrapText="1"/>
      <protection hidden="1"/>
    </xf>
    <xf numFmtId="0" fontId="80" fillId="0" borderId="23" xfId="6" applyBorder="1" applyAlignment="1" applyProtection="1">
      <alignment vertical="center"/>
      <protection hidden="1"/>
    </xf>
    <xf numFmtId="0" fontId="11" fillId="0" borderId="9" xfId="6" applyFont="1" applyBorder="1" applyAlignment="1" applyProtection="1">
      <alignment vertical="center" wrapText="1"/>
      <protection hidden="1"/>
    </xf>
    <xf numFmtId="0" fontId="11" fillId="0" borderId="12" xfId="6" applyFont="1" applyBorder="1" applyAlignment="1" applyProtection="1">
      <alignment vertical="center" wrapText="1"/>
      <protection hidden="1"/>
    </xf>
    <xf numFmtId="0" fontId="80" fillId="0" borderId="11" xfId="6" applyBorder="1" applyAlignment="1" applyProtection="1">
      <alignment vertical="center"/>
      <protection hidden="1"/>
    </xf>
    <xf numFmtId="0" fontId="11" fillId="0" borderId="25" xfId="6" applyFont="1" applyBorder="1" applyAlignment="1" applyProtection="1">
      <alignment vertical="center"/>
      <protection hidden="1"/>
    </xf>
    <xf numFmtId="0" fontId="11" fillId="0" borderId="26" xfId="6" applyFont="1" applyBorder="1" applyAlignment="1" applyProtection="1">
      <alignment vertical="center" wrapText="1"/>
      <protection hidden="1"/>
    </xf>
    <xf numFmtId="0" fontId="80" fillId="0" borderId="11" xfId="6" applyBorder="1" applyAlignment="1" applyProtection="1">
      <alignment horizontal="center" vertical="center"/>
      <protection hidden="1"/>
    </xf>
    <xf numFmtId="0" fontId="82" fillId="0" borderId="24" xfId="6" quotePrefix="1" applyFont="1" applyBorder="1" applyAlignment="1" applyProtection="1">
      <alignment vertical="top"/>
      <protection hidden="1"/>
    </xf>
    <xf numFmtId="0" fontId="80" fillId="0" borderId="21" xfId="6" applyBorder="1" applyAlignment="1" applyProtection="1">
      <alignment vertical="top"/>
      <protection hidden="1"/>
    </xf>
    <xf numFmtId="0" fontId="11" fillId="0" borderId="33" xfId="6" applyFont="1" applyBorder="1" applyAlignment="1" applyProtection="1">
      <alignment horizontal="right" vertical="center" wrapText="1"/>
      <protection hidden="1"/>
    </xf>
    <xf numFmtId="0" fontId="11" fillId="0" borderId="37" xfId="6" applyFont="1" applyBorder="1" applyAlignment="1" applyProtection="1">
      <alignment horizontal="left" vertical="center" wrapText="1"/>
      <protection hidden="1"/>
    </xf>
    <xf numFmtId="0" fontId="11" fillId="0" borderId="38" xfId="6" applyFont="1" applyBorder="1" applyAlignment="1" applyProtection="1">
      <alignment horizontal="right" vertical="center" wrapText="1"/>
      <protection hidden="1"/>
    </xf>
    <xf numFmtId="0" fontId="11" fillId="0" borderId="41" xfId="6" applyFont="1" applyBorder="1" applyAlignment="1" applyProtection="1">
      <alignment horizontal="left" vertical="center" wrapText="1"/>
      <protection hidden="1"/>
    </xf>
    <xf numFmtId="0" fontId="11" fillId="0" borderId="57" xfId="6" applyFont="1" applyBorder="1" applyAlignment="1" applyProtection="1">
      <alignment horizontal="right" vertical="center" wrapText="1"/>
      <protection hidden="1"/>
    </xf>
    <xf numFmtId="164" fontId="11" fillId="0" borderId="58" xfId="6" applyNumberFormat="1" applyFont="1" applyBorder="1" applyAlignment="1" applyProtection="1">
      <alignment horizontal="left" vertical="center" wrapText="1"/>
      <protection hidden="1"/>
    </xf>
    <xf numFmtId="0" fontId="11" fillId="0" borderId="9" xfId="6" applyFont="1" applyBorder="1" applyAlignment="1" applyProtection="1">
      <alignment horizontal="right" vertical="center" wrapText="1"/>
      <protection hidden="1"/>
    </xf>
    <xf numFmtId="164" fontId="80" fillId="0" borderId="12" xfId="7" applyFont="1" applyBorder="1" applyAlignment="1" applyProtection="1">
      <alignment horizontal="left" vertical="center" wrapText="1"/>
      <protection hidden="1"/>
    </xf>
    <xf numFmtId="0" fontId="80" fillId="0" borderId="17" xfId="6" applyBorder="1" applyAlignment="1" applyProtection="1">
      <alignment horizontal="center" vertical="center"/>
      <protection hidden="1"/>
    </xf>
    <xf numFmtId="0" fontId="80" fillId="0" borderId="17" xfId="6" quotePrefix="1" applyBorder="1" applyAlignment="1" applyProtection="1">
      <alignment horizontal="center" vertical="center"/>
      <protection hidden="1"/>
    </xf>
    <xf numFmtId="0" fontId="80" fillId="0" borderId="17" xfId="6" applyBorder="1" applyProtection="1">
      <protection hidden="1"/>
    </xf>
    <xf numFmtId="0" fontId="80" fillId="0" borderId="23" xfId="6" applyBorder="1" applyProtection="1">
      <protection hidden="1"/>
    </xf>
    <xf numFmtId="0" fontId="80" fillId="0" borderId="11" xfId="6" applyBorder="1" applyProtection="1">
      <protection hidden="1"/>
    </xf>
    <xf numFmtId="0" fontId="80" fillId="0" borderId="24" xfId="6" applyBorder="1" applyProtection="1">
      <protection hidden="1"/>
    </xf>
    <xf numFmtId="0" fontId="80" fillId="0" borderId="23" xfId="6" applyBorder="1" applyAlignment="1" applyProtection="1">
      <alignment horizontal="center"/>
      <protection hidden="1"/>
    </xf>
    <xf numFmtId="0" fontId="80" fillId="0" borderId="11" xfId="6" applyBorder="1" applyAlignment="1" applyProtection="1">
      <alignment horizontal="center"/>
      <protection hidden="1"/>
    </xf>
    <xf numFmtId="0" fontId="0" fillId="20" borderId="0" xfId="0" applyFill="1" applyProtection="1">
      <protection hidden="1"/>
    </xf>
    <xf numFmtId="0" fontId="0" fillId="20" borderId="0" xfId="0" applyFill="1" applyBorder="1" applyProtection="1">
      <protection hidden="1"/>
    </xf>
    <xf numFmtId="0" fontId="0" fillId="0" borderId="0" xfId="0" applyFill="1" applyProtection="1">
      <protection hidden="1"/>
    </xf>
    <xf numFmtId="0" fontId="0" fillId="7" borderId="14" xfId="0" applyFill="1" applyBorder="1" applyProtection="1">
      <protection hidden="1"/>
    </xf>
    <xf numFmtId="0" fontId="0" fillId="7" borderId="15" xfId="0" applyFill="1" applyBorder="1" applyProtection="1">
      <protection hidden="1"/>
    </xf>
    <xf numFmtId="0" fontId="0" fillId="7" borderId="0" xfId="0" applyFill="1" applyBorder="1" applyProtection="1">
      <protection hidden="1"/>
    </xf>
    <xf numFmtId="0" fontId="0" fillId="7" borderId="16" xfId="0" applyFill="1" applyBorder="1" applyProtection="1">
      <protection hidden="1"/>
    </xf>
    <xf numFmtId="0" fontId="0" fillId="21" borderId="0" xfId="0" applyFill="1" applyProtection="1">
      <protection hidden="1"/>
    </xf>
    <xf numFmtId="0" fontId="0" fillId="22" borderId="0" xfId="0" applyFill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0" fontId="43" fillId="0" borderId="22" xfId="3" applyFont="1" applyBorder="1" applyAlignment="1" applyProtection="1">
      <alignment horizontal="left" vertical="center"/>
      <protection hidden="1"/>
    </xf>
    <xf numFmtId="0" fontId="43" fillId="0" borderId="12" xfId="3" applyFont="1" applyBorder="1" applyAlignment="1" applyProtection="1">
      <alignment horizontal="left" vertical="center"/>
      <protection hidden="1"/>
    </xf>
    <xf numFmtId="0" fontId="42" fillId="0" borderId="24" xfId="3" applyFont="1" applyBorder="1" applyAlignment="1" applyProtection="1">
      <alignment horizontal="center" vertical="center" wrapText="1"/>
      <protection hidden="1"/>
    </xf>
    <xf numFmtId="0" fontId="42" fillId="0" borderId="18" xfId="3" applyFont="1" applyBorder="1" applyAlignment="1" applyProtection="1">
      <alignment horizontal="center" vertical="center" wrapText="1"/>
      <protection hidden="1"/>
    </xf>
    <xf numFmtId="0" fontId="43" fillId="0" borderId="26" xfId="3" applyFont="1" applyBorder="1" applyAlignment="1" applyProtection="1">
      <alignment horizontal="left" vertical="center"/>
      <protection hidden="1"/>
    </xf>
    <xf numFmtId="0" fontId="51" fillId="0" borderId="17" xfId="3" applyFont="1" applyBorder="1" applyAlignment="1" applyProtection="1">
      <alignment horizontal="center" vertical="center"/>
      <protection hidden="1"/>
    </xf>
    <xf numFmtId="0" fontId="80" fillId="0" borderId="0" xfId="6"/>
    <xf numFmtId="0" fontId="89" fillId="0" borderId="0" xfId="6" applyFont="1" applyAlignment="1">
      <alignment vertical="top" wrapText="1"/>
    </xf>
    <xf numFmtId="0" fontId="96" fillId="0" borderId="0" xfId="6" applyFont="1" applyAlignment="1">
      <alignment vertical="top" wrapText="1"/>
    </xf>
    <xf numFmtId="0" fontId="89" fillId="0" borderId="17" xfId="6" applyFont="1" applyBorder="1" applyAlignment="1">
      <alignment vertical="top" wrapText="1"/>
    </xf>
    <xf numFmtId="0" fontId="89" fillId="0" borderId="17" xfId="6" applyFont="1" applyBorder="1" applyAlignment="1">
      <alignment horizontal="center" vertical="top" wrapText="1"/>
    </xf>
    <xf numFmtId="0" fontId="80" fillId="0" borderId="26" xfId="6" applyBorder="1" applyAlignment="1">
      <alignment horizontal="center"/>
    </xf>
    <xf numFmtId="0" fontId="80" fillId="0" borderId="12" xfId="6" applyBorder="1" applyAlignment="1">
      <alignment horizontal="center"/>
    </xf>
    <xf numFmtId="0" fontId="80" fillId="0" borderId="0" xfId="6" applyAlignment="1">
      <alignment horizontal="left" indent="1"/>
    </xf>
    <xf numFmtId="0" fontId="8" fillId="0" borderId="0" xfId="0" applyFont="1" applyAlignment="1" applyProtection="1">
      <alignment horizontal="left"/>
      <protection hidden="1"/>
    </xf>
    <xf numFmtId="0" fontId="59" fillId="0" borderId="0" xfId="6" applyFont="1" applyAlignment="1" applyProtection="1">
      <alignment vertical="top"/>
      <protection locked="0"/>
    </xf>
    <xf numFmtId="0" fontId="80" fillId="0" borderId="0" xfId="6" applyAlignment="1" applyProtection="1">
      <alignment horizontal="center" vertical="top"/>
      <protection locked="0"/>
    </xf>
    <xf numFmtId="0" fontId="80" fillId="0" borderId="0" xfId="6" applyAlignment="1" applyProtection="1">
      <alignment vertical="top"/>
      <protection locked="0"/>
    </xf>
    <xf numFmtId="0" fontId="59" fillId="0" borderId="0" xfId="6" applyFont="1" applyAlignment="1" applyProtection="1">
      <alignment vertical="center"/>
      <protection locked="0"/>
    </xf>
    <xf numFmtId="0" fontId="59" fillId="0" borderId="0" xfId="6" applyFont="1" applyAlignment="1" applyProtection="1">
      <alignment vertical="top"/>
      <protection hidden="1"/>
    </xf>
    <xf numFmtId="0" fontId="80" fillId="0" borderId="0" xfId="6" applyAlignment="1" applyProtection="1">
      <alignment horizontal="center" vertical="top"/>
      <protection hidden="1"/>
    </xf>
    <xf numFmtId="0" fontId="89" fillId="0" borderId="46" xfId="6" applyFont="1" applyBorder="1" applyAlignment="1" applyProtection="1">
      <alignment horizontal="left" vertical="top" wrapText="1"/>
      <protection hidden="1"/>
    </xf>
    <xf numFmtId="0" fontId="80" fillId="0" borderId="46" xfId="6" applyBorder="1" applyAlignment="1" applyProtection="1">
      <alignment vertical="top"/>
      <protection hidden="1"/>
    </xf>
    <xf numFmtId="0" fontId="80" fillId="0" borderId="40" xfId="6" applyBorder="1" applyAlignment="1" applyProtection="1">
      <alignment vertical="top"/>
      <protection hidden="1"/>
    </xf>
    <xf numFmtId="0" fontId="89" fillId="0" borderId="45" xfId="8" applyFont="1" applyBorder="1" applyAlignment="1" applyProtection="1">
      <alignment vertical="top"/>
      <protection hidden="1"/>
    </xf>
    <xf numFmtId="0" fontId="89" fillId="0" borderId="39" xfId="8" applyFont="1" applyBorder="1" applyAlignment="1" applyProtection="1">
      <alignment vertical="top"/>
      <protection hidden="1"/>
    </xf>
    <xf numFmtId="0" fontId="89" fillId="0" borderId="40" xfId="8" applyFont="1" applyBorder="1" applyAlignment="1" applyProtection="1">
      <alignment vertical="top"/>
      <protection hidden="1"/>
    </xf>
    <xf numFmtId="0" fontId="80" fillId="0" borderId="45" xfId="6" applyBorder="1" applyAlignment="1" applyProtection="1">
      <alignment vertical="top"/>
      <protection hidden="1"/>
    </xf>
    <xf numFmtId="0" fontId="89" fillId="0" borderId="45" xfId="6" applyFont="1" applyBorder="1" applyAlignment="1" applyProtection="1">
      <alignment vertical="top"/>
      <protection hidden="1"/>
    </xf>
    <xf numFmtId="0" fontId="89" fillId="0" borderId="39" xfId="6" applyFont="1" applyBorder="1" applyAlignment="1" applyProtection="1">
      <alignment vertical="top"/>
      <protection hidden="1"/>
    </xf>
    <xf numFmtId="0" fontId="89" fillId="0" borderId="40" xfId="6" applyFont="1" applyBorder="1" applyAlignment="1" applyProtection="1">
      <alignment vertical="top"/>
      <protection hidden="1"/>
    </xf>
    <xf numFmtId="0" fontId="80" fillId="0" borderId="53" xfId="6" applyBorder="1" applyAlignment="1" applyProtection="1">
      <alignment vertical="top"/>
      <protection hidden="1"/>
    </xf>
    <xf numFmtId="0" fontId="80" fillId="0" borderId="43" xfId="6" applyBorder="1" applyAlignment="1" applyProtection="1">
      <alignment vertical="top"/>
      <protection hidden="1"/>
    </xf>
    <xf numFmtId="0" fontId="80" fillId="0" borderId="49" xfId="6" applyBorder="1" applyAlignment="1" applyProtection="1">
      <alignment vertical="top"/>
      <protection hidden="1"/>
    </xf>
    <xf numFmtId="0" fontId="89" fillId="0" borderId="43" xfId="6" applyFont="1" applyBorder="1" applyAlignment="1" applyProtection="1">
      <alignment vertical="top"/>
      <protection hidden="1"/>
    </xf>
    <xf numFmtId="0" fontId="89" fillId="0" borderId="53" xfId="6" applyFont="1" applyBorder="1" applyAlignment="1" applyProtection="1">
      <alignment vertical="top"/>
      <protection hidden="1"/>
    </xf>
    <xf numFmtId="0" fontId="59" fillId="0" borderId="0" xfId="6" applyFont="1" applyAlignment="1" applyProtection="1">
      <alignment vertical="center"/>
      <protection hidden="1"/>
    </xf>
    <xf numFmtId="0" fontId="42" fillId="0" borderId="21" xfId="3" applyFont="1" applyBorder="1" applyAlignment="1" applyProtection="1">
      <alignment vertical="center" wrapText="1"/>
      <protection hidden="1"/>
    </xf>
    <xf numFmtId="0" fontId="43" fillId="11" borderId="17" xfId="3" applyFont="1" applyFill="1" applyBorder="1" applyAlignment="1" applyProtection="1">
      <alignment horizontal="center" vertical="center"/>
      <protection hidden="1"/>
    </xf>
    <xf numFmtId="0" fontId="38" fillId="0" borderId="17" xfId="3" applyFont="1" applyFill="1" applyBorder="1" applyAlignment="1" applyProtection="1">
      <alignment vertical="top" wrapText="1"/>
      <protection hidden="1"/>
    </xf>
    <xf numFmtId="0" fontId="49" fillId="11" borderId="24" xfId="3" applyFont="1" applyFill="1" applyBorder="1" applyAlignment="1" applyProtection="1">
      <alignment vertical="center" wrapText="1"/>
      <protection hidden="1"/>
    </xf>
    <xf numFmtId="0" fontId="28" fillId="10" borderId="0" xfId="3" applyFont="1" applyFill="1" applyAlignment="1" applyProtection="1">
      <alignment vertical="center"/>
      <protection hidden="1"/>
    </xf>
    <xf numFmtId="0" fontId="47" fillId="0" borderId="0" xfId="3" applyFont="1" applyFill="1" applyAlignment="1" applyProtection="1">
      <alignment vertical="center"/>
      <protection hidden="1"/>
    </xf>
    <xf numFmtId="0" fontId="43" fillId="11" borderId="19" xfId="3" applyFont="1" applyFill="1" applyBorder="1" applyAlignment="1" applyProtection="1">
      <alignment horizontal="center" vertical="center"/>
      <protection hidden="1"/>
    </xf>
    <xf numFmtId="0" fontId="87" fillId="0" borderId="24" xfId="0" applyFont="1" applyBorder="1" applyAlignment="1" applyProtection="1">
      <alignment vertical="center" wrapText="1"/>
      <protection hidden="1"/>
    </xf>
    <xf numFmtId="0" fontId="87" fillId="0" borderId="12" xfId="0" applyFont="1" applyBorder="1" applyAlignment="1" applyProtection="1">
      <alignment vertical="center" wrapText="1"/>
      <protection hidden="1"/>
    </xf>
    <xf numFmtId="0" fontId="47" fillId="0" borderId="0" xfId="3" applyFont="1" applyAlignment="1" applyProtection="1">
      <alignment vertical="center"/>
      <protection hidden="1"/>
    </xf>
    <xf numFmtId="0" fontId="48" fillId="10" borderId="0" xfId="3" applyFont="1" applyFill="1" applyAlignment="1" applyProtection="1">
      <alignment vertical="center"/>
      <protection hidden="1"/>
    </xf>
    <xf numFmtId="0" fontId="87" fillId="0" borderId="18" xfId="0" applyFont="1" applyBorder="1" applyAlignment="1" applyProtection="1">
      <alignment vertical="center" wrapText="1"/>
      <protection hidden="1"/>
    </xf>
    <xf numFmtId="0" fontId="49" fillId="11" borderId="18" xfId="3" applyFont="1" applyFill="1" applyBorder="1" applyAlignment="1" applyProtection="1">
      <alignment vertical="center" wrapText="1"/>
      <protection hidden="1"/>
    </xf>
    <xf numFmtId="2" fontId="45" fillId="11" borderId="17" xfId="3" applyNumberFormat="1" applyFont="1" applyFill="1" applyBorder="1" applyAlignment="1" applyProtection="1">
      <alignment horizontal="center" vertical="center"/>
      <protection hidden="1"/>
    </xf>
    <xf numFmtId="0" fontId="49" fillId="0" borderId="11" xfId="3" applyFont="1" applyBorder="1" applyAlignment="1" applyProtection="1">
      <alignment horizontal="center" vertical="center"/>
      <protection hidden="1"/>
    </xf>
    <xf numFmtId="0" fontId="50" fillId="0" borderId="24" xfId="3" applyFont="1" applyBorder="1" applyAlignment="1" applyProtection="1">
      <alignment horizontal="left" vertical="center"/>
      <protection hidden="1"/>
    </xf>
    <xf numFmtId="0" fontId="50" fillId="0" borderId="21" xfId="3" applyFont="1" applyBorder="1" applyAlignment="1" applyProtection="1">
      <alignment horizontal="left" vertical="center"/>
      <protection hidden="1"/>
    </xf>
    <xf numFmtId="0" fontId="51" fillId="0" borderId="21" xfId="3" applyFont="1" applyBorder="1" applyAlignment="1" applyProtection="1">
      <alignment horizontal="left" vertical="center" wrapText="1"/>
      <protection hidden="1"/>
    </xf>
    <xf numFmtId="2" fontId="51" fillId="0" borderId="18" xfId="4" applyNumberFormat="1" applyFont="1" applyBorder="1" applyAlignment="1" applyProtection="1">
      <alignment horizontal="right" vertical="center" wrapText="1" indent="1"/>
      <protection hidden="1"/>
    </xf>
    <xf numFmtId="0" fontId="43" fillId="11" borderId="18" xfId="3" applyFont="1" applyFill="1" applyBorder="1" applyAlignment="1" applyProtection="1">
      <alignment horizontal="center" vertical="center"/>
      <protection hidden="1"/>
    </xf>
    <xf numFmtId="0" fontId="47" fillId="0" borderId="0" xfId="3" applyFont="1" applyFill="1" applyProtection="1">
      <protection hidden="1"/>
    </xf>
    <xf numFmtId="0" fontId="47" fillId="0" borderId="0" xfId="3" applyFont="1" applyProtection="1">
      <protection hidden="1"/>
    </xf>
    <xf numFmtId="0" fontId="48" fillId="10" borderId="0" xfId="3" applyFont="1" applyFill="1" applyProtection="1">
      <protection hidden="1"/>
    </xf>
    <xf numFmtId="0" fontId="51" fillId="0" borderId="0" xfId="3" applyFont="1" applyAlignment="1" applyProtection="1">
      <alignment horizontal="center" vertical="center"/>
      <protection hidden="1"/>
    </xf>
    <xf numFmtId="0" fontId="51" fillId="0" borderId="0" xfId="3" applyFont="1" applyAlignment="1" applyProtection="1">
      <alignment horizontal="left" vertical="center" wrapText="1"/>
      <protection hidden="1"/>
    </xf>
    <xf numFmtId="0" fontId="6" fillId="0" borderId="0" xfId="3" applyFont="1" applyAlignment="1" applyProtection="1">
      <alignment horizontal="center" vertical="center"/>
      <protection hidden="1"/>
    </xf>
    <xf numFmtId="0" fontId="6" fillId="0" borderId="0" xfId="3" applyFont="1" applyAlignment="1" applyProtection="1">
      <alignment horizontal="left" vertical="center" wrapText="1"/>
      <protection hidden="1"/>
    </xf>
    <xf numFmtId="2" fontId="6" fillId="0" borderId="0" xfId="4" applyNumberFormat="1" applyFont="1" applyBorder="1" applyAlignment="1" applyProtection="1">
      <alignment horizontal="right" vertical="center" wrapText="1" indent="1"/>
      <protection hidden="1"/>
    </xf>
    <xf numFmtId="0" fontId="43" fillId="0" borderId="0" xfId="3" applyFont="1" applyFill="1" applyProtection="1">
      <protection hidden="1"/>
    </xf>
    <xf numFmtId="0" fontId="43" fillId="0" borderId="0" xfId="3" quotePrefix="1" applyFont="1" applyFill="1" applyAlignment="1" applyProtection="1">
      <alignment horizontal="left"/>
      <protection hidden="1"/>
    </xf>
    <xf numFmtId="0" fontId="28" fillId="10" borderId="0" xfId="3" applyFont="1" applyFill="1" applyProtection="1">
      <protection hidden="1"/>
    </xf>
    <xf numFmtId="164" fontId="43" fillId="0" borderId="17" xfId="1" applyFont="1" applyBorder="1" applyAlignment="1" applyProtection="1">
      <alignment horizontal="center" vertical="center"/>
      <protection hidden="1"/>
    </xf>
    <xf numFmtId="165" fontId="45" fillId="11" borderId="22" xfId="3" quotePrefix="1" applyNumberFormat="1" applyFont="1" applyFill="1" applyBorder="1" applyAlignment="1" applyProtection="1">
      <alignment horizontal="center" vertical="center"/>
      <protection locked="0"/>
    </xf>
    <xf numFmtId="0" fontId="89" fillId="0" borderId="45" xfId="6" applyFont="1" applyBorder="1" applyAlignment="1">
      <alignment vertical="top"/>
    </xf>
    <xf numFmtId="0" fontId="80" fillId="0" borderId="53" xfId="6" applyBorder="1" applyAlignment="1">
      <alignment vertical="top"/>
    </xf>
    <xf numFmtId="0" fontId="89" fillId="0" borderId="43" xfId="8" applyFont="1" applyBorder="1" applyAlignment="1">
      <alignment vertical="top"/>
    </xf>
    <xf numFmtId="0" fontId="80" fillId="0" borderId="43" xfId="6" applyBorder="1" applyAlignment="1">
      <alignment vertical="top"/>
    </xf>
    <xf numFmtId="0" fontId="80" fillId="0" borderId="49" xfId="6" applyBorder="1" applyAlignment="1">
      <alignment vertical="top"/>
    </xf>
    <xf numFmtId="0" fontId="89" fillId="0" borderId="43" xfId="6" applyFont="1" applyBorder="1" applyAlignment="1">
      <alignment vertical="top"/>
    </xf>
    <xf numFmtId="0" fontId="89" fillId="0" borderId="53" xfId="6" applyFont="1" applyBorder="1" applyAlignment="1">
      <alignment vertical="top"/>
    </xf>
    <xf numFmtId="0" fontId="11" fillId="28" borderId="17" xfId="6" quotePrefix="1" applyFont="1" applyFill="1" applyBorder="1" applyAlignment="1">
      <alignment horizontal="center" vertical="top"/>
    </xf>
    <xf numFmtId="0" fontId="11" fillId="0" borderId="24" xfId="6" applyFont="1" applyBorder="1" applyAlignment="1">
      <alignment horizontal="center" vertical="top" wrapText="1"/>
    </xf>
    <xf numFmtId="0" fontId="11" fillId="0" borderId="21" xfId="6" applyFont="1" applyBorder="1" applyAlignment="1">
      <alignment horizontal="center" vertical="top" wrapText="1"/>
    </xf>
    <xf numFmtId="2" fontId="44" fillId="11" borderId="17" xfId="3" applyNumberFormat="1" applyFont="1" applyFill="1" applyBorder="1" applyAlignment="1" applyProtection="1">
      <alignment horizontal="center" vertical="center"/>
      <protection hidden="1"/>
    </xf>
    <xf numFmtId="0" fontId="76" fillId="11" borderId="18" xfId="3" applyFont="1" applyFill="1" applyBorder="1" applyAlignment="1" applyProtection="1">
      <alignment horizontal="left" vertical="center"/>
      <protection locked="0"/>
    </xf>
    <xf numFmtId="0" fontId="80" fillId="0" borderId="0" xfId="6" applyAlignment="1">
      <alignment horizontal="center" vertical="top"/>
    </xf>
    <xf numFmtId="0" fontId="89" fillId="0" borderId="0" xfId="6" applyFont="1" applyAlignment="1">
      <alignment horizontal="left" vertical="top" wrapText="1"/>
    </xf>
    <xf numFmtId="0" fontId="80" fillId="0" borderId="45" xfId="6" applyBorder="1" applyAlignment="1">
      <alignment horizontal="center" vertical="top" wrapText="1"/>
    </xf>
    <xf numFmtId="0" fontId="11" fillId="26" borderId="17" xfId="6" applyFont="1" applyFill="1" applyBorder="1" applyAlignment="1">
      <alignment horizontal="center" vertical="center" wrapText="1"/>
    </xf>
    <xf numFmtId="0" fontId="80" fillId="27" borderId="17" xfId="6" applyFill="1" applyBorder="1" applyAlignment="1">
      <alignment horizontal="center" vertical="center"/>
    </xf>
    <xf numFmtId="0" fontId="80" fillId="24" borderId="17" xfId="6" quotePrefix="1" applyFill="1" applyBorder="1" applyAlignment="1">
      <alignment horizontal="center" vertical="top"/>
    </xf>
    <xf numFmtId="0" fontId="11" fillId="0" borderId="17" xfId="6" applyFont="1" applyBorder="1" applyAlignment="1">
      <alignment vertical="top"/>
    </xf>
    <xf numFmtId="0" fontId="80" fillId="0" borderId="39" xfId="6" applyBorder="1" applyAlignment="1">
      <alignment horizontal="left" vertical="top"/>
    </xf>
    <xf numFmtId="0" fontId="80" fillId="0" borderId="43" xfId="6" applyBorder="1" applyAlignment="1">
      <alignment horizontal="left" vertical="top"/>
    </xf>
    <xf numFmtId="0" fontId="11" fillId="26" borderId="17" xfId="6" applyFont="1" applyFill="1" applyBorder="1" applyAlignment="1">
      <alignment horizontal="center" vertical="center"/>
    </xf>
    <xf numFmtId="0" fontId="80" fillId="0" borderId="0" xfId="6" applyAlignment="1">
      <alignment horizontal="center"/>
    </xf>
    <xf numFmtId="0" fontId="12" fillId="0" borderId="24" xfId="0" applyFont="1" applyBorder="1" applyAlignment="1" applyProtection="1">
      <alignment horizontal="left" shrinkToFit="1"/>
      <protection hidden="1"/>
    </xf>
    <xf numFmtId="0" fontId="89" fillId="0" borderId="0" xfId="6" applyFont="1" applyAlignment="1" applyProtection="1">
      <alignment horizontal="left" vertical="top" wrapText="1"/>
      <protection hidden="1"/>
    </xf>
    <xf numFmtId="0" fontId="80" fillId="0" borderId="0" xfId="6" applyAlignment="1">
      <alignment horizontal="center" vertical="top"/>
    </xf>
    <xf numFmtId="0" fontId="80" fillId="27" borderId="17" xfId="6" applyFill="1" applyBorder="1" applyAlignment="1">
      <alignment horizontal="center" vertical="center"/>
    </xf>
    <xf numFmtId="0" fontId="11" fillId="0" borderId="17" xfId="6" applyFont="1" applyBorder="1" applyAlignment="1">
      <alignment vertical="top"/>
    </xf>
    <xf numFmtId="0" fontId="19" fillId="0" borderId="24" xfId="0" applyFont="1" applyBorder="1" applyAlignment="1" applyProtection="1">
      <alignment horizontal="left" shrinkToFit="1"/>
      <protection hidden="1"/>
    </xf>
    <xf numFmtId="0" fontId="80" fillId="0" borderId="0" xfId="6" applyAlignment="1">
      <alignment horizontal="center"/>
    </xf>
    <xf numFmtId="0" fontId="76" fillId="11" borderId="0" xfId="3" applyFont="1" applyFill="1" applyBorder="1" applyAlignment="1" applyProtection="1">
      <alignment vertical="center" wrapText="1"/>
      <protection hidden="1"/>
    </xf>
    <xf numFmtId="0" fontId="22" fillId="0" borderId="21" xfId="3" applyFont="1" applyBorder="1" applyAlignment="1" applyProtection="1">
      <alignment horizontal="left" vertical="center"/>
      <protection hidden="1"/>
    </xf>
    <xf numFmtId="0" fontId="76" fillId="0" borderId="21" xfId="3" applyFont="1" applyBorder="1" applyAlignment="1" applyProtection="1">
      <alignment horizontal="left" vertical="center"/>
      <protection locked="0"/>
    </xf>
    <xf numFmtId="0" fontId="22" fillId="0" borderId="0" xfId="6" applyFont="1" applyAlignment="1">
      <alignment vertical="top"/>
    </xf>
    <xf numFmtId="0" fontId="80" fillId="0" borderId="0" xfId="6" applyAlignment="1">
      <alignment horizontal="center" vertical="center"/>
    </xf>
    <xf numFmtId="0" fontId="80" fillId="0" borderId="0" xfId="6" applyAlignment="1">
      <alignment vertical="center"/>
    </xf>
    <xf numFmtId="0" fontId="22" fillId="0" borderId="0" xfId="6" applyFont="1" applyAlignment="1">
      <alignment horizontal="left" vertical="center"/>
    </xf>
    <xf numFmtId="0" fontId="80" fillId="0" borderId="0" xfId="6" applyAlignment="1">
      <alignment horizontal="left" vertical="center"/>
    </xf>
    <xf numFmtId="0" fontId="89" fillId="0" borderId="0" xfId="6" applyFont="1" applyAlignment="1">
      <alignment horizontal="left" vertical="center" wrapText="1"/>
    </xf>
    <xf numFmtId="0" fontId="80" fillId="0" borderId="40" xfId="6" applyBorder="1" applyAlignment="1">
      <alignment horizontal="center" vertical="center"/>
    </xf>
    <xf numFmtId="0" fontId="80" fillId="0" borderId="39" xfId="6" applyBorder="1" applyAlignment="1">
      <alignment horizontal="left" vertical="center"/>
    </xf>
    <xf numFmtId="0" fontId="80" fillId="0" borderId="45" xfId="6" applyBorder="1" applyAlignment="1">
      <alignment horizontal="left" vertical="center"/>
    </xf>
    <xf numFmtId="0" fontId="82" fillId="0" borderId="40" xfId="6" applyFont="1" applyBorder="1" applyAlignment="1">
      <alignment horizontal="center" vertical="center"/>
    </xf>
    <xf numFmtId="0" fontId="80" fillId="0" borderId="39" xfId="6" applyBorder="1" applyAlignment="1">
      <alignment horizontal="center" vertical="center"/>
    </xf>
    <xf numFmtId="0" fontId="80" fillId="0" borderId="41" xfId="6" applyBorder="1" applyAlignment="1">
      <alignment horizontal="left" vertical="center"/>
    </xf>
    <xf numFmtId="0" fontId="80" fillId="0" borderId="61" xfId="6" applyBorder="1" applyAlignment="1">
      <alignment horizontal="center" vertical="center"/>
    </xf>
    <xf numFmtId="0" fontId="80" fillId="0" borderId="51" xfId="6" applyBorder="1" applyAlignment="1">
      <alignment horizontal="left" vertical="center"/>
    </xf>
    <xf numFmtId="0" fontId="80" fillId="0" borderId="60" xfId="6" applyBorder="1" applyAlignment="1">
      <alignment horizontal="left" vertical="center"/>
    </xf>
    <xf numFmtId="0" fontId="82" fillId="0" borderId="61" xfId="6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80" fillId="24" borderId="50" xfId="6" quotePrefix="1" applyFill="1" applyBorder="1" applyAlignment="1">
      <alignment horizontal="center" vertical="center"/>
    </xf>
    <xf numFmtId="0" fontId="80" fillId="24" borderId="64" xfId="6" quotePrefix="1" applyFill="1" applyBorder="1" applyAlignment="1">
      <alignment horizontal="center" vertical="center" wrapText="1"/>
    </xf>
    <xf numFmtId="0" fontId="22" fillId="0" borderId="0" xfId="6" applyFont="1" applyAlignment="1">
      <alignment vertical="center"/>
    </xf>
    <xf numFmtId="0" fontId="80" fillId="0" borderId="66" xfId="6" applyBorder="1" applyAlignment="1">
      <alignment horizontal="left" vertical="top" wrapText="1"/>
    </xf>
    <xf numFmtId="0" fontId="80" fillId="0" borderId="39" xfId="6" applyBorder="1" applyAlignment="1">
      <alignment horizontal="center" vertical="top" wrapText="1"/>
    </xf>
    <xf numFmtId="9" fontId="80" fillId="0" borderId="41" xfId="6" applyNumberFormat="1" applyBorder="1" applyAlignment="1">
      <alignment horizontal="left" vertical="top" wrapText="1"/>
    </xf>
    <xf numFmtId="0" fontId="22" fillId="0" borderId="0" xfId="6" applyFont="1" applyAlignment="1">
      <alignment horizontal="left" vertical="top"/>
    </xf>
    <xf numFmtId="0" fontId="80" fillId="0" borderId="61" xfId="6" applyBorder="1" applyAlignment="1">
      <alignment horizontal="left" vertical="top" wrapText="1"/>
    </xf>
    <xf numFmtId="9" fontId="80" fillId="0" borderId="41" xfId="6" applyNumberFormat="1" applyBorder="1" applyAlignment="1">
      <alignment horizontal="left" vertical="top"/>
    </xf>
    <xf numFmtId="0" fontId="80" fillId="0" borderId="62" xfId="6" applyBorder="1" applyAlignment="1">
      <alignment horizontal="left" vertical="top" wrapText="1"/>
    </xf>
    <xf numFmtId="0" fontId="80" fillId="0" borderId="41" xfId="6" applyBorder="1" applyAlignment="1">
      <alignment horizontal="left" vertical="top" wrapText="1"/>
    </xf>
    <xf numFmtId="0" fontId="80" fillId="0" borderId="59" xfId="6" applyBorder="1" applyAlignment="1">
      <alignment horizontal="left" vertical="top" wrapText="1"/>
    </xf>
    <xf numFmtId="0" fontId="80" fillId="0" borderId="35" xfId="6" applyBorder="1" applyAlignment="1">
      <alignment horizontal="left" vertical="top" wrapText="1"/>
    </xf>
    <xf numFmtId="0" fontId="80" fillId="0" borderId="35" xfId="6" applyBorder="1" applyAlignment="1">
      <alignment horizontal="left" vertical="top" wrapText="1"/>
    </xf>
    <xf numFmtId="0" fontId="80" fillId="0" borderId="61" xfId="6" applyBorder="1" applyAlignment="1">
      <alignment horizontal="left" vertical="top" wrapText="1"/>
    </xf>
    <xf numFmtId="0" fontId="80" fillId="0" borderId="65" xfId="6" applyBorder="1" applyAlignment="1">
      <alignment horizontal="left" vertical="top" wrapText="1"/>
    </xf>
    <xf numFmtId="0" fontId="80" fillId="0" borderId="65" xfId="6" applyBorder="1" applyAlignment="1">
      <alignment horizontal="left" vertical="top" wrapText="1"/>
    </xf>
    <xf numFmtId="0" fontId="80" fillId="0" borderId="25" xfId="6" applyBorder="1" applyAlignment="1">
      <alignment horizontal="center" vertical="top"/>
    </xf>
    <xf numFmtId="0" fontId="11" fillId="0" borderId="0" xfId="6" applyFont="1" applyAlignment="1">
      <alignment horizontal="left" vertical="top" wrapText="1"/>
    </xf>
    <xf numFmtId="0" fontId="80" fillId="0" borderId="0" xfId="6" applyAlignment="1">
      <alignment horizontal="left" vertical="top" wrapText="1"/>
    </xf>
    <xf numFmtId="0" fontId="80" fillId="0" borderId="0" xfId="6" applyAlignment="1">
      <alignment horizontal="center" vertical="top" wrapText="1"/>
    </xf>
    <xf numFmtId="0" fontId="80" fillId="0" borderId="26" xfId="6" applyBorder="1" applyAlignment="1">
      <alignment horizontal="left" vertical="top" wrapText="1"/>
    </xf>
    <xf numFmtId="0" fontId="80" fillId="0" borderId="56" xfId="6" applyBorder="1" applyAlignment="1">
      <alignment horizontal="center" vertical="top" wrapText="1"/>
    </xf>
    <xf numFmtId="9" fontId="80" fillId="0" borderId="55" xfId="6" applyNumberFormat="1" applyBorder="1" applyAlignment="1">
      <alignment horizontal="left" vertical="top" wrapText="1"/>
    </xf>
    <xf numFmtId="0" fontId="11" fillId="0" borderId="0" xfId="6" applyFont="1" applyAlignment="1">
      <alignment horizontal="center" vertical="center"/>
    </xf>
    <xf numFmtId="0" fontId="11" fillId="0" borderId="0" xfId="6" quotePrefix="1" applyFont="1" applyAlignment="1">
      <alignment horizontal="left" vertical="center"/>
    </xf>
    <xf numFmtId="0" fontId="11" fillId="0" borderId="0" xfId="6" applyFont="1" applyAlignment="1">
      <alignment horizontal="left" vertical="center" wrapText="1"/>
    </xf>
    <xf numFmtId="0" fontId="11" fillId="0" borderId="0" xfId="6" applyFont="1" applyAlignment="1">
      <alignment horizontal="center" vertical="center" wrapText="1"/>
    </xf>
    <xf numFmtId="0" fontId="11" fillId="0" borderId="0" xfId="6" applyFont="1"/>
    <xf numFmtId="0" fontId="11" fillId="0" borderId="0" xfId="6" applyFont="1" applyAlignment="1">
      <alignment vertical="center" wrapText="1"/>
    </xf>
    <xf numFmtId="0" fontId="11" fillId="0" borderId="0" xfId="6" applyFont="1" applyAlignment="1">
      <alignment horizontal="left" vertical="center"/>
    </xf>
    <xf numFmtId="0" fontId="11" fillId="0" borderId="0" xfId="6" applyFont="1" applyAlignment="1">
      <alignment horizontal="center"/>
    </xf>
    <xf numFmtId="0" fontId="19" fillId="0" borderId="0" xfId="6" applyFont="1"/>
    <xf numFmtId="0" fontId="80" fillId="0" borderId="0" xfId="6" applyAlignment="1">
      <alignment horizontal="left" vertical="top" indent="5"/>
    </xf>
    <xf numFmtId="0" fontId="22" fillId="0" borderId="0" xfId="6" applyFont="1"/>
    <xf numFmtId="0" fontId="11" fillId="0" borderId="0" xfId="6" applyFont="1" applyAlignment="1">
      <alignment horizontal="left" indent="5"/>
    </xf>
    <xf numFmtId="0" fontId="100" fillId="0" borderId="0" xfId="6" applyFont="1"/>
    <xf numFmtId="0" fontId="14" fillId="0" borderId="0" xfId="6" applyFont="1"/>
    <xf numFmtId="0" fontId="101" fillId="0" borderId="0" xfId="6" applyFont="1"/>
    <xf numFmtId="0" fontId="54" fillId="0" borderId="0" xfId="6" applyFont="1" applyAlignment="1">
      <alignment vertical="top"/>
    </xf>
    <xf numFmtId="0" fontId="54" fillId="0" borderId="0" xfId="6" applyFont="1" applyAlignment="1">
      <alignment vertical="center"/>
    </xf>
    <xf numFmtId="0" fontId="80" fillId="24" borderId="39" xfId="6" applyFill="1" applyBorder="1" applyAlignment="1">
      <alignment vertical="top"/>
    </xf>
    <xf numFmtId="0" fontId="59" fillId="0" borderId="0" xfId="6" applyFont="1" applyAlignment="1">
      <alignment horizontal="center" vertical="center" wrapText="1"/>
    </xf>
    <xf numFmtId="0" fontId="11" fillId="23" borderId="17" xfId="6" applyFont="1" applyFill="1" applyBorder="1" applyAlignment="1">
      <alignment horizontal="center" vertical="top"/>
    </xf>
    <xf numFmtId="0" fontId="11" fillId="23" borderId="17" xfId="6" quotePrefix="1" applyFont="1" applyFill="1" applyBorder="1" applyAlignment="1">
      <alignment horizontal="center" vertical="top"/>
    </xf>
    <xf numFmtId="0" fontId="59" fillId="0" borderId="0" xfId="6" applyFont="1" applyAlignment="1">
      <alignment horizontal="center" vertical="top"/>
    </xf>
    <xf numFmtId="0" fontId="11" fillId="0" borderId="24" xfId="6" applyFont="1" applyBorder="1" applyAlignment="1">
      <alignment horizontal="center" vertical="top" shrinkToFit="1"/>
    </xf>
    <xf numFmtId="0" fontId="11" fillId="0" borderId="21" xfId="6" applyFont="1" applyBorder="1" applyAlignment="1">
      <alignment horizontal="center" vertical="top" shrinkToFit="1"/>
    </xf>
    <xf numFmtId="0" fontId="11" fillId="0" borderId="24" xfId="6" applyFont="1" applyBorder="1" applyAlignment="1">
      <alignment vertical="top" shrinkToFit="1"/>
    </xf>
    <xf numFmtId="0" fontId="11" fillId="0" borderId="21" xfId="6" applyFont="1" applyBorder="1" applyAlignment="1">
      <alignment vertical="top" wrapText="1"/>
    </xf>
    <xf numFmtId="0" fontId="11" fillId="0" borderId="17" xfId="6" applyFont="1" applyBorder="1" applyAlignment="1">
      <alignment horizontal="center" vertical="top" wrapText="1"/>
    </xf>
    <xf numFmtId="0" fontId="11" fillId="0" borderId="17" xfId="6" applyFont="1" applyBorder="1" applyAlignment="1">
      <alignment horizontal="center" vertical="top" shrinkToFit="1"/>
    </xf>
    <xf numFmtId="1" fontId="11" fillId="0" borderId="17" xfId="6" applyNumberFormat="1" applyFont="1" applyBorder="1" applyAlignment="1">
      <alignment horizontal="center" vertical="top"/>
    </xf>
    <xf numFmtId="2" fontId="11" fillId="0" borderId="17" xfId="6" applyNumberFormat="1" applyFont="1" applyBorder="1" applyAlignment="1">
      <alignment vertical="top"/>
    </xf>
    <xf numFmtId="2" fontId="80" fillId="0" borderId="0" xfId="6" applyNumberFormat="1" applyAlignment="1">
      <alignment vertical="top"/>
    </xf>
    <xf numFmtId="0" fontId="80" fillId="0" borderId="0" xfId="6" applyAlignment="1">
      <alignment horizontal="center" vertical="top"/>
    </xf>
    <xf numFmtId="0" fontId="80" fillId="27" borderId="45" xfId="6" applyFill="1" applyBorder="1" applyAlignment="1">
      <alignment horizontal="center" vertical="center"/>
    </xf>
    <xf numFmtId="0" fontId="80" fillId="24" borderId="45" xfId="6" quotePrefix="1" applyFill="1" applyBorder="1" applyAlignment="1">
      <alignment horizontal="center" vertical="top"/>
    </xf>
    <xf numFmtId="0" fontId="80" fillId="0" borderId="45" xfId="6" applyBorder="1" applyAlignment="1">
      <alignment horizontal="left" vertical="top" wrapText="1"/>
    </xf>
    <xf numFmtId="0" fontId="11" fillId="0" borderId="39" xfId="6" applyFont="1" applyBorder="1" applyAlignment="1">
      <alignment horizontal="left" vertical="top"/>
    </xf>
    <xf numFmtId="0" fontId="80" fillId="0" borderId="45" xfId="6" applyBorder="1" applyAlignment="1">
      <alignment horizontal="right" vertical="top" wrapText="1"/>
    </xf>
    <xf numFmtId="0" fontId="80" fillId="0" borderId="45" xfId="6" applyBorder="1" applyAlignment="1">
      <alignment vertical="top" wrapText="1"/>
    </xf>
    <xf numFmtId="0" fontId="11" fillId="0" borderId="17" xfId="6" applyFont="1" applyBorder="1" applyAlignment="1">
      <alignment vertical="top"/>
    </xf>
    <xf numFmtId="0" fontId="64" fillId="0" borderId="0" xfId="3" applyFont="1" applyAlignment="1" applyProtection="1">
      <alignment horizontal="right"/>
      <protection hidden="1"/>
    </xf>
    <xf numFmtId="3" fontId="64" fillId="0" borderId="0" xfId="3" applyNumberFormat="1" applyFont="1" applyAlignment="1" applyProtection="1">
      <alignment horizontal="right"/>
      <protection hidden="1"/>
    </xf>
    <xf numFmtId="15" fontId="12" fillId="0" borderId="0" xfId="0" quotePrefix="1" applyNumberFormat="1" applyFont="1" applyBorder="1" applyAlignment="1" applyProtection="1">
      <alignment horizontal="center" vertical="top" wrapText="1"/>
      <protection hidden="1"/>
    </xf>
    <xf numFmtId="0" fontId="76" fillId="11" borderId="17" xfId="3" applyFont="1" applyFill="1" applyBorder="1" applyAlignment="1" applyProtection="1">
      <alignment vertical="center"/>
      <protection locked="0"/>
    </xf>
    <xf numFmtId="0" fontId="80" fillId="0" borderId="39" xfId="6" applyBorder="1" applyAlignment="1">
      <alignment vertical="center" wrapText="1"/>
    </xf>
    <xf numFmtId="0" fontId="80" fillId="0" borderId="41" xfId="6" applyBorder="1" applyAlignment="1">
      <alignment vertical="center" wrapText="1"/>
    </xf>
    <xf numFmtId="0" fontId="80" fillId="0" borderId="51" xfId="6" applyBorder="1" applyAlignment="1">
      <alignment vertical="center" wrapText="1"/>
    </xf>
    <xf numFmtId="0" fontId="80" fillId="0" borderId="58" xfId="6" applyBorder="1" applyAlignment="1">
      <alignment vertical="center" wrapText="1"/>
    </xf>
    <xf numFmtId="0" fontId="80" fillId="0" borderId="45" xfId="6" applyBorder="1" applyAlignment="1">
      <alignment vertical="center"/>
    </xf>
    <xf numFmtId="0" fontId="80" fillId="0" borderId="60" xfId="6" applyBorder="1" applyAlignment="1">
      <alignment vertical="center"/>
    </xf>
    <xf numFmtId="0" fontId="11" fillId="0" borderId="18" xfId="6" applyFont="1" applyBorder="1" applyAlignment="1">
      <alignment horizontal="center" vertical="top" wrapText="1"/>
    </xf>
    <xf numFmtId="0" fontId="11" fillId="0" borderId="18" xfId="6" applyFont="1" applyBorder="1" applyAlignment="1">
      <alignment horizontal="center" vertical="top" shrinkToFit="1"/>
    </xf>
    <xf numFmtId="0" fontId="92" fillId="0" borderId="0" xfId="6" applyFont="1" applyAlignment="1" applyProtection="1">
      <alignment vertical="top"/>
      <protection hidden="1"/>
    </xf>
    <xf numFmtId="0" fontId="89" fillId="0" borderId="0" xfId="6" applyFont="1" applyAlignment="1" applyProtection="1">
      <alignment vertical="top"/>
      <protection hidden="1"/>
    </xf>
    <xf numFmtId="0" fontId="80" fillId="0" borderId="65" xfId="6" applyBorder="1" applyAlignment="1" applyProtection="1">
      <alignment vertical="top"/>
      <protection hidden="1"/>
    </xf>
    <xf numFmtId="0" fontId="80" fillId="0" borderId="56" xfId="6" applyBorder="1" applyAlignment="1" applyProtection="1">
      <alignment vertical="top"/>
      <protection hidden="1"/>
    </xf>
    <xf numFmtId="0" fontId="80" fillId="0" borderId="39" xfId="6" applyBorder="1" applyAlignment="1" applyProtection="1">
      <alignment vertical="top"/>
      <protection hidden="1"/>
    </xf>
    <xf numFmtId="0" fontId="80" fillId="0" borderId="39" xfId="6" applyBorder="1" applyAlignment="1" applyProtection="1">
      <alignment horizontal="left" vertical="top" wrapText="1"/>
      <protection hidden="1"/>
    </xf>
    <xf numFmtId="0" fontId="80" fillId="27" borderId="66" xfId="6" applyFill="1" applyBorder="1" applyAlignment="1" applyProtection="1">
      <alignment horizontal="center" vertical="center"/>
      <protection hidden="1"/>
    </xf>
    <xf numFmtId="0" fontId="80" fillId="24" borderId="66" xfId="6" quotePrefix="1" applyFill="1" applyBorder="1" applyAlignment="1" applyProtection="1">
      <alignment horizontal="center" vertical="top"/>
      <protection hidden="1"/>
    </xf>
    <xf numFmtId="0" fontId="80" fillId="24" borderId="66" xfId="6" quotePrefix="1" applyFill="1" applyBorder="1" applyAlignment="1" applyProtection="1">
      <alignment horizontal="center" vertical="top" wrapText="1"/>
      <protection hidden="1"/>
    </xf>
    <xf numFmtId="0" fontId="80" fillId="24" borderId="39" xfId="6" applyFill="1" applyBorder="1" applyAlignment="1" applyProtection="1">
      <alignment vertical="top"/>
      <protection hidden="1"/>
    </xf>
    <xf numFmtId="0" fontId="80" fillId="0" borderId="64" xfId="6" applyBorder="1" applyAlignment="1">
      <alignment horizontal="center" vertical="top"/>
    </xf>
    <xf numFmtId="0" fontId="80" fillId="0" borderId="56" xfId="6" applyBorder="1" applyAlignment="1">
      <alignment vertical="top" wrapText="1"/>
    </xf>
    <xf numFmtId="0" fontId="82" fillId="24" borderId="17" xfId="6" quotePrefix="1" applyFont="1" applyFill="1" applyBorder="1" applyAlignment="1">
      <alignment horizontal="center" vertical="top"/>
    </xf>
    <xf numFmtId="0" fontId="22" fillId="0" borderId="17" xfId="6" applyFont="1" applyBorder="1" applyAlignment="1">
      <alignment horizontal="center" vertical="top"/>
    </xf>
    <xf numFmtId="0" fontId="22" fillId="0" borderId="0" xfId="6" applyFont="1" applyBorder="1" applyAlignment="1">
      <alignment horizontal="center" vertical="top"/>
    </xf>
    <xf numFmtId="0" fontId="22" fillId="0" borderId="17" xfId="6" quotePrefix="1" applyFont="1" applyBorder="1" applyAlignment="1">
      <alignment horizontal="center" vertical="top"/>
    </xf>
    <xf numFmtId="0" fontId="11" fillId="0" borderId="17" xfId="6" quotePrefix="1" applyFont="1" applyBorder="1" applyAlignment="1">
      <alignment vertical="top"/>
    </xf>
    <xf numFmtId="0" fontId="13" fillId="2" borderId="17" xfId="0" applyFont="1" applyFill="1" applyBorder="1" applyAlignment="1" applyProtection="1">
      <alignment horizontal="center" vertical="center"/>
      <protection hidden="1"/>
    </xf>
    <xf numFmtId="0" fontId="13" fillId="3" borderId="13" xfId="0" applyFont="1" applyFill="1" applyBorder="1" applyAlignment="1" applyProtection="1">
      <alignment horizontal="center" vertical="center"/>
      <protection hidden="1"/>
    </xf>
    <xf numFmtId="0" fontId="80" fillId="0" borderId="24" xfId="6" applyBorder="1" applyAlignment="1">
      <alignment horizontal="center" vertical="top" wrapText="1"/>
    </xf>
    <xf numFmtId="0" fontId="0" fillId="6" borderId="0" xfId="0" applyFill="1" applyProtection="1">
      <protection locked="0"/>
    </xf>
    <xf numFmtId="0" fontId="21" fillId="2" borderId="0" xfId="0" applyFont="1" applyFill="1" applyAlignment="1" applyProtection="1">
      <alignment horizontal="center" vertical="center"/>
      <protection locked="0"/>
    </xf>
    <xf numFmtId="0" fontId="27" fillId="20" borderId="0" xfId="0" applyFont="1" applyFill="1" applyAlignment="1" applyProtection="1">
      <alignment vertical="center"/>
      <protection locked="0"/>
    </xf>
    <xf numFmtId="0" fontId="24" fillId="4" borderId="0" xfId="0" applyFont="1" applyFill="1" applyBorder="1" applyAlignment="1" applyProtection="1">
      <alignment horizontal="left" vertical="center"/>
      <protection locked="0"/>
    </xf>
    <xf numFmtId="0" fontId="17" fillId="11" borderId="0" xfId="0" applyFont="1" applyFill="1" applyBorder="1" applyAlignment="1" applyProtection="1">
      <alignment horizontal="left" vertical="center"/>
      <protection locked="0"/>
    </xf>
    <xf numFmtId="0" fontId="17" fillId="11" borderId="0" xfId="0" applyFont="1" applyFill="1" applyBorder="1" applyAlignment="1" applyProtection="1">
      <alignment vertical="center"/>
      <protection locked="0"/>
    </xf>
    <xf numFmtId="0" fontId="32" fillId="4" borderId="0" xfId="0" applyFont="1" applyFill="1" applyAlignment="1" applyProtection="1">
      <alignment vertical="center"/>
      <protection locked="0"/>
    </xf>
    <xf numFmtId="0" fontId="25" fillId="4" borderId="0" xfId="0" applyFont="1" applyFill="1" applyBorder="1" applyAlignment="1" applyProtection="1">
      <alignment vertical="center"/>
      <protection locked="0"/>
    </xf>
    <xf numFmtId="0" fontId="26" fillId="4" borderId="0" xfId="0" applyFont="1" applyFill="1" applyBorder="1" applyAlignment="1" applyProtection="1">
      <alignment vertical="center"/>
      <protection locked="0"/>
    </xf>
    <xf numFmtId="0" fontId="8" fillId="8" borderId="0" xfId="0" applyFont="1" applyFill="1" applyProtection="1">
      <protection locked="0"/>
    </xf>
    <xf numFmtId="0" fontId="17" fillId="11" borderId="19" xfId="0" applyFont="1" applyFill="1" applyBorder="1" applyAlignment="1" applyProtection="1">
      <alignment horizontal="left" vertical="center"/>
      <protection locked="0"/>
    </xf>
    <xf numFmtId="0" fontId="17" fillId="11" borderId="23" xfId="0" applyFont="1" applyFill="1" applyBorder="1" applyAlignment="1" applyProtection="1">
      <alignment horizontal="left" vertical="center"/>
      <protection locked="0"/>
    </xf>
    <xf numFmtId="0" fontId="26" fillId="9" borderId="0" xfId="0" applyFont="1" applyFill="1" applyBorder="1" applyAlignment="1" applyProtection="1">
      <alignment vertical="center"/>
      <protection locked="0"/>
    </xf>
    <xf numFmtId="0" fontId="78" fillId="11" borderId="11" xfId="0" applyFont="1" applyFill="1" applyBorder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23" fillId="6" borderId="0" xfId="0" applyFont="1" applyFill="1" applyAlignment="1" applyProtection="1">
      <alignment horizontal="center" vertical="center"/>
      <protection hidden="1"/>
    </xf>
    <xf numFmtId="0" fontId="0" fillId="6" borderId="0" xfId="0" applyFill="1" applyProtection="1">
      <protection hidden="1"/>
    </xf>
    <xf numFmtId="0" fontId="27" fillId="20" borderId="0" xfId="0" applyFont="1" applyFill="1" applyAlignment="1" applyProtection="1">
      <alignment vertical="center"/>
      <protection hidden="1"/>
    </xf>
    <xf numFmtId="0" fontId="24" fillId="4" borderId="0" xfId="0" applyFont="1" applyFill="1" applyBorder="1" applyAlignment="1" applyProtection="1">
      <alignment horizontal="left" vertical="center"/>
      <protection hidden="1"/>
    </xf>
    <xf numFmtId="0" fontId="33" fillId="4" borderId="0" xfId="0" applyFont="1" applyFill="1" applyBorder="1" applyAlignment="1" applyProtection="1">
      <alignment horizontal="left" vertical="center"/>
      <protection hidden="1"/>
    </xf>
    <xf numFmtId="0" fontId="33" fillId="4" borderId="0" xfId="0" applyFont="1" applyFill="1" applyBorder="1" applyAlignment="1" applyProtection="1">
      <alignment horizontal="center" vertical="center"/>
      <protection hidden="1"/>
    </xf>
    <xf numFmtId="0" fontId="33" fillId="4" borderId="0" xfId="0" applyFont="1" applyFill="1" applyBorder="1" applyAlignment="1" applyProtection="1">
      <alignment vertical="center"/>
      <protection hidden="1"/>
    </xf>
    <xf numFmtId="0" fontId="34" fillId="4" borderId="0" xfId="0" applyFont="1" applyFill="1" applyBorder="1" applyAlignment="1" applyProtection="1">
      <alignment vertical="center"/>
      <protection hidden="1"/>
    </xf>
    <xf numFmtId="0" fontId="32" fillId="4" borderId="0" xfId="0" applyFont="1" applyFill="1" applyAlignment="1" applyProtection="1">
      <alignment horizontal="center" vertical="center"/>
      <protection hidden="1"/>
    </xf>
    <xf numFmtId="0" fontId="34" fillId="4" borderId="0" xfId="0" applyFont="1" applyFill="1" applyBorder="1" applyAlignment="1" applyProtection="1">
      <alignment horizontal="center" vertical="center"/>
      <protection hidden="1"/>
    </xf>
    <xf numFmtId="0" fontId="35" fillId="4" borderId="0" xfId="0" applyFont="1" applyFill="1" applyBorder="1" applyAlignment="1" applyProtection="1">
      <alignment horizontal="center" vertical="center"/>
      <protection hidden="1"/>
    </xf>
    <xf numFmtId="0" fontId="35" fillId="4" borderId="0" xfId="0" applyFont="1" applyFill="1" applyBorder="1" applyAlignment="1" applyProtection="1">
      <alignment vertical="center"/>
      <protection hidden="1"/>
    </xf>
    <xf numFmtId="0" fontId="8" fillId="8" borderId="0" xfId="0" applyFont="1" applyFill="1" applyProtection="1">
      <protection hidden="1"/>
    </xf>
    <xf numFmtId="0" fontId="26" fillId="20" borderId="0" xfId="0" applyFont="1" applyFill="1" applyBorder="1" applyAlignment="1" applyProtection="1">
      <alignment horizontal="center" vertical="center"/>
      <protection hidden="1"/>
    </xf>
    <xf numFmtId="0" fontId="24" fillId="20" borderId="0" xfId="0" applyFont="1" applyFill="1" applyBorder="1" applyAlignment="1" applyProtection="1">
      <alignment vertical="center"/>
      <protection hidden="1"/>
    </xf>
    <xf numFmtId="0" fontId="26" fillId="20" borderId="0" xfId="0" applyFont="1" applyFill="1" applyBorder="1" applyAlignment="1" applyProtection="1">
      <alignment vertical="center"/>
      <protection hidden="1"/>
    </xf>
    <xf numFmtId="0" fontId="24" fillId="20" borderId="0" xfId="0" applyFont="1" applyFill="1" applyBorder="1" applyAlignment="1" applyProtection="1">
      <alignment horizontal="center" vertical="center"/>
      <protection hidden="1"/>
    </xf>
    <xf numFmtId="0" fontId="27" fillId="20" borderId="0" xfId="0" applyFont="1" applyFill="1" applyBorder="1" applyAlignment="1" applyProtection="1">
      <alignment vertical="center"/>
      <protection hidden="1"/>
    </xf>
    <xf numFmtId="0" fontId="36" fillId="20" borderId="0" xfId="0" applyFont="1" applyFill="1" applyBorder="1" applyAlignment="1" applyProtection="1">
      <alignment vertical="center"/>
      <protection hidden="1"/>
    </xf>
    <xf numFmtId="0" fontId="80" fillId="0" borderId="18" xfId="6" applyBorder="1" applyAlignment="1" applyProtection="1">
      <alignment vertical="top"/>
      <protection hidden="1"/>
    </xf>
    <xf numFmtId="0" fontId="80" fillId="0" borderId="40" xfId="6" applyBorder="1" applyAlignment="1" applyProtection="1">
      <alignment vertical="center"/>
      <protection hidden="1"/>
    </xf>
    <xf numFmtId="0" fontId="89" fillId="0" borderId="45" xfId="8" applyFont="1" applyBorder="1" applyAlignment="1" applyProtection="1">
      <alignment vertical="center"/>
      <protection hidden="1"/>
    </xf>
    <xf numFmtId="0" fontId="89" fillId="0" borderId="39" xfId="8" applyFont="1" applyBorder="1" applyAlignment="1" applyProtection="1">
      <alignment vertical="center"/>
      <protection hidden="1"/>
    </xf>
    <xf numFmtId="0" fontId="89" fillId="0" borderId="40" xfId="8" applyFont="1" applyBorder="1" applyAlignment="1" applyProtection="1">
      <alignment vertical="center"/>
      <protection hidden="1"/>
    </xf>
    <xf numFmtId="0" fontId="80" fillId="0" borderId="45" xfId="6" applyBorder="1" applyAlignment="1" applyProtection="1">
      <alignment vertical="center"/>
      <protection hidden="1"/>
    </xf>
    <xf numFmtId="0" fontId="89" fillId="0" borderId="45" xfId="6" applyFont="1" applyBorder="1" applyAlignment="1" applyProtection="1">
      <alignment vertical="center"/>
      <protection hidden="1"/>
    </xf>
    <xf numFmtId="0" fontId="89" fillId="0" borderId="39" xfId="6" applyFont="1" applyBorder="1" applyAlignment="1" applyProtection="1">
      <alignment vertical="center"/>
      <protection hidden="1"/>
    </xf>
    <xf numFmtId="0" fontId="89" fillId="0" borderId="40" xfId="6" applyFont="1" applyBorder="1" applyAlignment="1" applyProtection="1">
      <alignment vertical="center"/>
      <protection hidden="1"/>
    </xf>
    <xf numFmtId="0" fontId="80" fillId="0" borderId="53" xfId="6" applyBorder="1" applyAlignment="1" applyProtection="1">
      <alignment vertical="center"/>
      <protection hidden="1"/>
    </xf>
    <xf numFmtId="0" fontId="80" fillId="0" borderId="43" xfId="6" applyBorder="1" applyAlignment="1" applyProtection="1">
      <alignment vertical="center"/>
      <protection hidden="1"/>
    </xf>
    <xf numFmtId="0" fontId="80" fillId="0" borderId="49" xfId="6" applyBorder="1" applyAlignment="1" applyProtection="1">
      <alignment vertical="center"/>
      <protection hidden="1"/>
    </xf>
    <xf numFmtId="0" fontId="89" fillId="0" borderId="43" xfId="6" applyFont="1" applyBorder="1" applyAlignment="1" applyProtection="1">
      <alignment vertical="center"/>
      <protection hidden="1"/>
    </xf>
    <xf numFmtId="0" fontId="89" fillId="0" borderId="53" xfId="6" applyFont="1" applyBorder="1" applyAlignment="1" applyProtection="1">
      <alignment vertical="center"/>
      <protection hidden="1"/>
    </xf>
    <xf numFmtId="0" fontId="80" fillId="0" borderId="21" xfId="6" applyBorder="1" applyAlignment="1">
      <alignment horizontal="center" vertical="top" wrapText="1"/>
    </xf>
    <xf numFmtId="0" fontId="80" fillId="0" borderId="18" xfId="6" applyBorder="1" applyAlignment="1">
      <alignment horizontal="left" vertical="top" wrapText="1"/>
    </xf>
    <xf numFmtId="0" fontId="80" fillId="0" borderId="36" xfId="6" applyBorder="1" applyAlignment="1">
      <alignment horizontal="center" vertical="top" wrapText="1"/>
    </xf>
    <xf numFmtId="0" fontId="80" fillId="0" borderId="34" xfId="6" applyBorder="1" applyAlignment="1">
      <alignment horizontal="center" vertical="top" wrapText="1"/>
    </xf>
    <xf numFmtId="0" fontId="80" fillId="27" borderId="17" xfId="6" applyFill="1" applyBorder="1" applyAlignment="1" applyProtection="1">
      <alignment horizontal="center" vertical="center"/>
      <protection hidden="1"/>
    </xf>
    <xf numFmtId="0" fontId="80" fillId="24" borderId="17" xfId="6" quotePrefix="1" applyFill="1" applyBorder="1" applyAlignment="1" applyProtection="1">
      <alignment horizontal="center" vertical="top"/>
      <protection hidden="1"/>
    </xf>
    <xf numFmtId="0" fontId="80" fillId="0" borderId="17" xfId="6" applyBorder="1" applyAlignment="1" applyProtection="1">
      <alignment horizontal="center" vertical="top"/>
      <protection hidden="1"/>
    </xf>
    <xf numFmtId="0" fontId="6" fillId="26" borderId="17" xfId="0" applyFont="1" applyFill="1" applyBorder="1" applyAlignment="1" applyProtection="1">
      <alignment horizontal="center" vertical="center"/>
      <protection hidden="1"/>
    </xf>
    <xf numFmtId="0" fontId="4" fillId="0" borderId="17" xfId="0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vertical="center"/>
      <protection hidden="1"/>
    </xf>
    <xf numFmtId="0" fontId="104" fillId="0" borderId="17" xfId="0" applyFont="1" applyBorder="1" applyAlignment="1" applyProtection="1">
      <alignment horizontal="center" vertical="center"/>
      <protection hidden="1"/>
    </xf>
    <xf numFmtId="0" fontId="105" fillId="0" borderId="17" xfId="0" applyFont="1" applyBorder="1" applyAlignment="1" applyProtection="1">
      <alignment vertical="center"/>
      <protection hidden="1"/>
    </xf>
    <xf numFmtId="0" fontId="80" fillId="0" borderId="61" xfId="6" applyBorder="1" applyAlignment="1">
      <alignment horizontal="left" vertical="top" wrapText="1"/>
    </xf>
    <xf numFmtId="0" fontId="80" fillId="0" borderId="65" xfId="6" applyBorder="1" applyAlignment="1">
      <alignment horizontal="left" vertical="top" wrapText="1"/>
    </xf>
    <xf numFmtId="0" fontId="80" fillId="0" borderId="65" xfId="6" applyBorder="1" applyAlignment="1">
      <alignment horizontal="left" vertical="top" wrapText="1"/>
    </xf>
    <xf numFmtId="0" fontId="80" fillId="0" borderId="61" xfId="6" applyBorder="1" applyAlignment="1">
      <alignment horizontal="left" vertical="top" wrapText="1"/>
    </xf>
    <xf numFmtId="0" fontId="11" fillId="0" borderId="17" xfId="6" applyFont="1" applyBorder="1" applyAlignment="1">
      <alignment vertical="top"/>
    </xf>
    <xf numFmtId="0" fontId="80" fillId="0" borderId="17" xfId="6" applyBorder="1" applyAlignment="1">
      <alignment horizontal="center" vertical="top"/>
    </xf>
    <xf numFmtId="0" fontId="80" fillId="0" borderId="0" xfId="6" applyBorder="1" applyAlignment="1">
      <alignment horizontal="center" vertical="top"/>
    </xf>
    <xf numFmtId="0" fontId="11" fillId="0" borderId="0" xfId="6" applyFont="1" applyBorder="1" applyAlignment="1">
      <alignment horizontal="left" vertical="top" wrapText="1"/>
    </xf>
    <xf numFmtId="0" fontId="80" fillId="0" borderId="0" xfId="6" applyBorder="1" applyAlignment="1">
      <alignment horizontal="left" vertical="top" wrapText="1"/>
    </xf>
    <xf numFmtId="0" fontId="80" fillId="0" borderId="0" xfId="6" applyBorder="1" applyAlignment="1">
      <alignment horizontal="center" vertical="top" wrapText="1"/>
    </xf>
    <xf numFmtId="9" fontId="80" fillId="0" borderId="0" xfId="6" applyNumberFormat="1" applyBorder="1" applyAlignment="1">
      <alignment horizontal="left" vertical="top" wrapText="1"/>
    </xf>
    <xf numFmtId="0" fontId="80" fillId="0" borderId="75" xfId="6" applyBorder="1" applyAlignment="1">
      <alignment horizontal="center" vertical="top"/>
    </xf>
    <xf numFmtId="0" fontId="80" fillId="0" borderId="24" xfId="6" applyBorder="1" applyAlignment="1">
      <alignment horizontal="center" vertical="top"/>
    </xf>
    <xf numFmtId="0" fontId="80" fillId="0" borderId="37" xfId="6" applyBorder="1" applyAlignment="1">
      <alignment horizontal="left" vertical="top" wrapText="1"/>
    </xf>
    <xf numFmtId="0" fontId="80" fillId="0" borderId="39" xfId="6" applyBorder="1" applyAlignment="1">
      <alignment horizontal="left" vertical="center"/>
    </xf>
    <xf numFmtId="2" fontId="80" fillId="0" borderId="23" xfId="6" applyNumberFormat="1" applyBorder="1" applyAlignment="1">
      <alignment vertical="top"/>
    </xf>
    <xf numFmtId="0" fontId="80" fillId="2" borderId="45" xfId="6" applyFill="1" applyBorder="1" applyAlignment="1">
      <alignment horizontal="left" vertical="top" wrapText="1"/>
    </xf>
    <xf numFmtId="0" fontId="89" fillId="0" borderId="17" xfId="6" applyFont="1" applyBorder="1" applyAlignment="1">
      <alignment horizontal="center" vertical="top" wrapText="1"/>
    </xf>
    <xf numFmtId="0" fontId="96" fillId="0" borderId="0" xfId="6" applyFont="1" applyAlignment="1">
      <alignment vertical="top" wrapText="1"/>
    </xf>
    <xf numFmtId="0" fontId="110" fillId="24" borderId="17" xfId="6" applyFont="1" applyFill="1" applyBorder="1" applyAlignment="1">
      <alignment horizontal="center" vertical="center"/>
    </xf>
    <xf numFmtId="0" fontId="80" fillId="2" borderId="49" xfId="6" applyFill="1" applyBorder="1" applyAlignment="1" applyProtection="1">
      <alignment horizontal="left" vertical="top" wrapText="1"/>
      <protection hidden="1"/>
    </xf>
    <xf numFmtId="0" fontId="80" fillId="2" borderId="76" xfId="6" applyFill="1" applyBorder="1" applyAlignment="1" applyProtection="1">
      <alignment horizontal="left" vertical="top" wrapText="1"/>
      <protection hidden="1"/>
    </xf>
    <xf numFmtId="0" fontId="80" fillId="17" borderId="17" xfId="6" applyFill="1" applyBorder="1" applyAlignment="1" applyProtection="1">
      <alignment horizontal="center" vertical="top" wrapText="1"/>
      <protection hidden="1"/>
    </xf>
    <xf numFmtId="0" fontId="11" fillId="17" borderId="17" xfId="6" applyFont="1" applyFill="1" applyBorder="1" applyAlignment="1" applyProtection="1">
      <alignment horizontal="center" vertical="top"/>
      <protection hidden="1"/>
    </xf>
    <xf numFmtId="0" fontId="80" fillId="25" borderId="43" xfId="6" applyFill="1" applyBorder="1" applyAlignment="1" applyProtection="1">
      <alignment vertical="top"/>
      <protection hidden="1"/>
    </xf>
    <xf numFmtId="2" fontId="96" fillId="0" borderId="17" xfId="6" applyNumberFormat="1" applyFont="1" applyBorder="1" applyAlignment="1">
      <alignment horizontal="left" vertical="top" wrapText="1"/>
    </xf>
    <xf numFmtId="1" fontId="11" fillId="17" borderId="17" xfId="6" applyNumberFormat="1" applyFont="1" applyFill="1" applyBorder="1" applyAlignment="1" applyProtection="1">
      <alignment horizontal="center" vertical="top"/>
      <protection hidden="1"/>
    </xf>
    <xf numFmtId="2" fontId="98" fillId="0" borderId="17" xfId="6" quotePrefix="1" applyNumberFormat="1" applyFont="1" applyBorder="1" applyAlignment="1">
      <alignment horizontal="left" vertical="center" wrapText="1"/>
    </xf>
    <xf numFmtId="1" fontId="96" fillId="0" borderId="17" xfId="6" applyNumberFormat="1" applyFont="1" applyBorder="1" applyAlignment="1">
      <alignment horizontal="left" vertical="top" wrapText="1"/>
    </xf>
    <xf numFmtId="0" fontId="96" fillId="0" borderId="17" xfId="6" applyFont="1" applyBorder="1" applyAlignment="1">
      <alignment horizontal="left" vertical="top" wrapText="1"/>
    </xf>
    <xf numFmtId="2" fontId="96" fillId="0" borderId="17" xfId="6" applyNumberFormat="1" applyFont="1" applyBorder="1" applyAlignment="1">
      <alignment horizontal="left" vertical="center" wrapText="1"/>
    </xf>
    <xf numFmtId="0" fontId="11" fillId="0" borderId="17" xfId="6" applyFont="1" applyBorder="1" applyAlignment="1">
      <alignment vertical="top"/>
    </xf>
    <xf numFmtId="0" fontId="80" fillId="0" borderId="17" xfId="6" applyBorder="1" applyAlignment="1">
      <alignment horizontal="center" vertical="top"/>
    </xf>
    <xf numFmtId="0" fontId="23" fillId="6" borderId="0" xfId="0" applyFont="1" applyFill="1" applyAlignment="1" applyProtection="1">
      <alignment horizontal="center" vertical="center"/>
      <protection hidden="1"/>
    </xf>
    <xf numFmtId="0" fontId="18" fillId="0" borderId="4" xfId="0" applyFont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center" vertical="center"/>
      <protection hidden="1"/>
    </xf>
    <xf numFmtId="0" fontId="18" fillId="0" borderId="5" xfId="0" applyFont="1" applyBorder="1" applyAlignment="1" applyProtection="1">
      <alignment horizontal="center" vertical="center"/>
      <protection hidden="1"/>
    </xf>
    <xf numFmtId="0" fontId="16" fillId="0" borderId="4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66" fillId="3" borderId="21" xfId="3" applyFont="1" applyFill="1" applyBorder="1" applyAlignment="1" applyProtection="1">
      <alignment horizontal="left" vertical="center" wrapText="1"/>
      <protection hidden="1"/>
    </xf>
    <xf numFmtId="0" fontId="67" fillId="6" borderId="0" xfId="3" applyFont="1" applyFill="1" applyAlignment="1" applyProtection="1">
      <alignment horizontal="center"/>
      <protection hidden="1"/>
    </xf>
    <xf numFmtId="0" fontId="68" fillId="6" borderId="0" xfId="3" applyFont="1" applyFill="1" applyAlignment="1" applyProtection="1">
      <alignment horizontal="center"/>
      <protection hidden="1"/>
    </xf>
    <xf numFmtId="0" fontId="66" fillId="2" borderId="21" xfId="3" applyFont="1" applyFill="1" applyBorder="1" applyAlignment="1" applyProtection="1">
      <alignment horizontal="left" vertical="center" wrapText="1"/>
      <protection hidden="1"/>
    </xf>
    <xf numFmtId="0" fontId="76" fillId="11" borderId="24" xfId="3" applyFont="1" applyFill="1" applyBorder="1" applyAlignment="1" applyProtection="1">
      <alignment horizontal="left" vertical="center"/>
      <protection locked="0"/>
    </xf>
    <xf numFmtId="0" fontId="76" fillId="11" borderId="18" xfId="3" applyFont="1" applyFill="1" applyBorder="1" applyAlignment="1" applyProtection="1">
      <alignment horizontal="left" vertical="center"/>
      <protection locked="0"/>
    </xf>
    <xf numFmtId="49" fontId="76" fillId="11" borderId="18" xfId="3" applyNumberFormat="1" applyFont="1" applyFill="1" applyBorder="1" applyAlignment="1" applyProtection="1">
      <alignment horizontal="left" vertical="center"/>
      <protection locked="0"/>
    </xf>
    <xf numFmtId="0" fontId="19" fillId="0" borderId="17" xfId="0" applyFont="1" applyBorder="1" applyAlignment="1" applyProtection="1">
      <alignment horizontal="left" vertical="center"/>
      <protection locked="0"/>
    </xf>
    <xf numFmtId="0" fontId="76" fillId="0" borderId="17" xfId="3" applyFont="1" applyBorder="1" applyAlignment="1" applyProtection="1">
      <alignment horizontal="left" vertical="center"/>
      <protection locked="0"/>
    </xf>
    <xf numFmtId="0" fontId="19" fillId="0" borderId="24" xfId="0" quotePrefix="1" applyFont="1" applyFill="1" applyBorder="1" applyAlignment="1" applyProtection="1">
      <alignment horizontal="left" vertical="center"/>
      <protection locked="0"/>
    </xf>
    <xf numFmtId="0" fontId="19" fillId="0" borderId="18" xfId="0" quotePrefix="1" applyFont="1" applyFill="1" applyBorder="1" applyAlignment="1" applyProtection="1">
      <alignment horizontal="left" vertical="center"/>
      <protection locked="0"/>
    </xf>
    <xf numFmtId="0" fontId="19" fillId="0" borderId="24" xfId="0" applyFont="1" applyBorder="1" applyAlignment="1" applyProtection="1">
      <alignment horizontal="left" vertical="center"/>
      <protection locked="0"/>
    </xf>
    <xf numFmtId="0" fontId="19" fillId="0" borderId="18" xfId="0" applyFont="1" applyBorder="1" applyAlignment="1" applyProtection="1">
      <alignment horizontal="left" vertical="center"/>
      <protection locked="0"/>
    </xf>
    <xf numFmtId="0" fontId="66" fillId="4" borderId="21" xfId="3" applyFont="1" applyFill="1" applyBorder="1" applyAlignment="1" applyProtection="1">
      <alignment horizontal="left" vertical="center" wrapText="1"/>
      <protection hidden="1"/>
    </xf>
    <xf numFmtId="0" fontId="66" fillId="4" borderId="27" xfId="3" applyFont="1" applyFill="1" applyBorder="1" applyAlignment="1" applyProtection="1">
      <alignment horizontal="left" vertical="center" wrapText="1"/>
      <protection hidden="1"/>
    </xf>
    <xf numFmtId="0" fontId="19" fillId="0" borderId="24" xfId="0" quotePrefix="1" applyFont="1" applyBorder="1" applyAlignment="1" applyProtection="1">
      <alignment vertical="center"/>
      <protection locked="0"/>
    </xf>
    <xf numFmtId="0" fontId="19" fillId="0" borderId="18" xfId="0" quotePrefix="1" applyFont="1" applyBorder="1" applyAlignment="1" applyProtection="1">
      <alignment vertical="center"/>
      <protection locked="0"/>
    </xf>
    <xf numFmtId="0" fontId="39" fillId="0" borderId="0" xfId="3" applyFont="1" applyAlignment="1" applyProtection="1">
      <alignment horizontal="center"/>
      <protection hidden="1"/>
    </xf>
    <xf numFmtId="0" fontId="42" fillId="0" borderId="24" xfId="3" applyFont="1" applyBorder="1" applyAlignment="1" applyProtection="1">
      <alignment horizontal="center" vertical="center"/>
      <protection hidden="1"/>
    </xf>
    <xf numFmtId="0" fontId="42" fillId="0" borderId="21" xfId="3" applyFont="1" applyBorder="1" applyAlignment="1" applyProtection="1">
      <alignment horizontal="center" vertical="center"/>
      <protection hidden="1"/>
    </xf>
    <xf numFmtId="0" fontId="42" fillId="0" borderId="27" xfId="3" applyFont="1" applyBorder="1" applyAlignment="1" applyProtection="1">
      <alignment horizontal="center" vertical="center"/>
      <protection hidden="1"/>
    </xf>
    <xf numFmtId="0" fontId="42" fillId="0" borderId="18" xfId="3" applyFont="1" applyBorder="1" applyAlignment="1" applyProtection="1">
      <alignment horizontal="center" vertical="center"/>
      <protection hidden="1"/>
    </xf>
    <xf numFmtId="0" fontId="42" fillId="0" borderId="20" xfId="3" applyFont="1" applyBorder="1" applyAlignment="1" applyProtection="1">
      <alignment horizontal="center" vertical="center"/>
      <protection hidden="1"/>
    </xf>
    <xf numFmtId="0" fontId="42" fillId="0" borderId="22" xfId="3" applyFont="1" applyBorder="1" applyAlignment="1" applyProtection="1">
      <alignment horizontal="center" vertical="center"/>
      <protection hidden="1"/>
    </xf>
    <xf numFmtId="0" fontId="43" fillId="0" borderId="27" xfId="3" applyFont="1" applyBorder="1" applyAlignment="1" applyProtection="1">
      <alignment horizontal="left" vertical="center"/>
      <protection hidden="1"/>
    </xf>
    <xf numFmtId="0" fontId="43" fillId="0" borderId="20" xfId="3" applyFont="1" applyBorder="1" applyAlignment="1" applyProtection="1">
      <alignment horizontal="left" vertical="center"/>
      <protection hidden="1"/>
    </xf>
    <xf numFmtId="0" fontId="43" fillId="0" borderId="22" xfId="3" applyFont="1" applyBorder="1" applyAlignment="1" applyProtection="1">
      <alignment horizontal="left" vertical="center"/>
      <protection hidden="1"/>
    </xf>
    <xf numFmtId="0" fontId="43" fillId="0" borderId="9" xfId="3" applyFont="1" applyBorder="1" applyAlignment="1" applyProtection="1">
      <alignment horizontal="left" vertical="center"/>
      <protection hidden="1"/>
    </xf>
    <xf numFmtId="0" fontId="43" fillId="0" borderId="10" xfId="3" applyFont="1" applyBorder="1" applyAlignment="1" applyProtection="1">
      <alignment horizontal="left" vertical="center"/>
      <protection hidden="1"/>
    </xf>
    <xf numFmtId="0" fontId="43" fillId="0" borderId="12" xfId="3" applyFont="1" applyBorder="1" applyAlignment="1" applyProtection="1">
      <alignment horizontal="left" vertical="center"/>
      <protection hidden="1"/>
    </xf>
    <xf numFmtId="0" fontId="42" fillId="0" borderId="24" xfId="3" applyFont="1" applyBorder="1" applyAlignment="1" applyProtection="1">
      <alignment horizontal="center" vertical="center" wrapText="1"/>
      <protection hidden="1"/>
    </xf>
    <xf numFmtId="0" fontId="42" fillId="0" borderId="21" xfId="3" applyFont="1" applyBorder="1" applyAlignment="1" applyProtection="1">
      <alignment horizontal="center" vertical="center" wrapText="1"/>
      <protection hidden="1"/>
    </xf>
    <xf numFmtId="0" fontId="42" fillId="0" borderId="10" xfId="3" applyFont="1" applyBorder="1" applyAlignment="1" applyProtection="1">
      <alignment horizontal="center" vertical="center" wrapText="1"/>
      <protection hidden="1"/>
    </xf>
    <xf numFmtId="0" fontId="42" fillId="0" borderId="18" xfId="3" applyFont="1" applyBorder="1" applyAlignment="1" applyProtection="1">
      <alignment horizontal="center" vertical="center" wrapText="1"/>
      <protection hidden="1"/>
    </xf>
    <xf numFmtId="0" fontId="45" fillId="0" borderId="25" xfId="3" applyFont="1" applyBorder="1" applyAlignment="1" applyProtection="1">
      <alignment horizontal="center" vertical="center" wrapText="1"/>
      <protection hidden="1"/>
    </xf>
    <xf numFmtId="0" fontId="45" fillId="0" borderId="26" xfId="3" applyFont="1" applyBorder="1" applyAlignment="1" applyProtection="1">
      <alignment horizontal="center" vertical="center" wrapText="1"/>
      <protection hidden="1"/>
    </xf>
    <xf numFmtId="0" fontId="43" fillId="0" borderId="0" xfId="3" applyFont="1" applyAlignment="1" applyProtection="1">
      <alignment horizontal="left" vertical="center"/>
      <protection hidden="1"/>
    </xf>
    <xf numFmtId="0" fontId="43" fillId="0" borderId="0" xfId="3" applyFont="1" applyBorder="1" applyAlignment="1" applyProtection="1">
      <alignment horizontal="left" vertical="center"/>
      <protection hidden="1"/>
    </xf>
    <xf numFmtId="0" fontId="43" fillId="0" borderId="25" xfId="3" applyFont="1" applyBorder="1" applyAlignment="1" applyProtection="1">
      <alignment horizontal="left" vertical="center"/>
      <protection hidden="1"/>
    </xf>
    <xf numFmtId="0" fontId="43" fillId="0" borderId="26" xfId="3" applyFont="1" applyBorder="1" applyAlignment="1" applyProtection="1">
      <alignment horizontal="left" vertical="center"/>
      <protection hidden="1"/>
    </xf>
    <xf numFmtId="0" fontId="46" fillId="11" borderId="21" xfId="3" applyFont="1" applyFill="1" applyBorder="1" applyAlignment="1" applyProtection="1">
      <alignment horizontal="justify" vertical="center" wrapText="1"/>
      <protection locked="0"/>
    </xf>
    <xf numFmtId="0" fontId="46" fillId="11" borderId="18" xfId="3" applyFont="1" applyFill="1" applyBorder="1" applyAlignment="1" applyProtection="1">
      <alignment horizontal="justify" vertical="center" wrapText="1"/>
      <protection locked="0"/>
    </xf>
    <xf numFmtId="0" fontId="45" fillId="11" borderId="17" xfId="3" applyFont="1" applyFill="1" applyBorder="1" applyAlignment="1" applyProtection="1">
      <alignment horizontal="center" vertical="center"/>
      <protection locked="0"/>
    </xf>
    <xf numFmtId="0" fontId="51" fillId="0" borderId="17" xfId="3" applyFont="1" applyBorder="1" applyAlignment="1" applyProtection="1">
      <alignment horizontal="left" vertical="center" wrapText="1"/>
      <protection locked="0"/>
    </xf>
    <xf numFmtId="0" fontId="43" fillId="0" borderId="0" xfId="3" applyFont="1" applyAlignment="1" applyProtection="1">
      <alignment horizontal="left"/>
      <protection hidden="1"/>
    </xf>
    <xf numFmtId="0" fontId="51" fillId="11" borderId="17" xfId="3" applyFont="1" applyFill="1" applyBorder="1" applyAlignment="1" applyProtection="1">
      <alignment horizontal="center" vertical="center"/>
      <protection locked="0"/>
    </xf>
    <xf numFmtId="0" fontId="42" fillId="0" borderId="21" xfId="3" applyFont="1" applyBorder="1" applyAlignment="1" applyProtection="1">
      <alignment horizontal="left" vertical="center" wrapText="1"/>
      <protection hidden="1"/>
    </xf>
    <xf numFmtId="0" fontId="42" fillId="0" borderId="18" xfId="3" applyFont="1" applyBorder="1" applyAlignment="1" applyProtection="1">
      <alignment horizontal="left" vertical="center" wrapText="1"/>
      <protection hidden="1"/>
    </xf>
    <xf numFmtId="0" fontId="62" fillId="0" borderId="0" xfId="3" applyFont="1" applyAlignment="1" applyProtection="1">
      <alignment horizontal="center"/>
      <protection hidden="1"/>
    </xf>
    <xf numFmtId="0" fontId="51" fillId="0" borderId="19" xfId="3" applyFont="1" applyBorder="1" applyAlignment="1" applyProtection="1">
      <alignment horizontal="center" vertical="center"/>
      <protection hidden="1"/>
    </xf>
    <xf numFmtId="0" fontId="51" fillId="0" borderId="11" xfId="3" applyFont="1" applyBorder="1" applyAlignment="1" applyProtection="1">
      <alignment horizontal="center" vertical="center"/>
      <protection hidden="1"/>
    </xf>
    <xf numFmtId="0" fontId="51" fillId="0" borderId="20" xfId="3" applyFont="1" applyBorder="1" applyAlignment="1" applyProtection="1">
      <alignment horizontal="center" vertical="center"/>
      <protection hidden="1"/>
    </xf>
    <xf numFmtId="0" fontId="51" fillId="0" borderId="27" xfId="3" applyFont="1" applyBorder="1" applyAlignment="1" applyProtection="1">
      <alignment horizontal="center" vertical="center"/>
      <protection hidden="1"/>
    </xf>
    <xf numFmtId="0" fontId="51" fillId="0" borderId="22" xfId="3" applyFont="1" applyBorder="1" applyAlignment="1" applyProtection="1">
      <alignment horizontal="center" vertical="center"/>
      <protection hidden="1"/>
    </xf>
    <xf numFmtId="0" fontId="51" fillId="0" borderId="9" xfId="3" applyFont="1" applyBorder="1" applyAlignment="1" applyProtection="1">
      <alignment horizontal="center" vertical="center"/>
      <protection hidden="1"/>
    </xf>
    <xf numFmtId="0" fontId="51" fillId="0" borderId="10" xfId="3" applyFont="1" applyBorder="1" applyAlignment="1" applyProtection="1">
      <alignment horizontal="center" vertical="center"/>
      <protection hidden="1"/>
    </xf>
    <xf numFmtId="0" fontId="51" fillId="0" borderId="12" xfId="3" applyFont="1" applyBorder="1" applyAlignment="1" applyProtection="1">
      <alignment horizontal="center" vertical="center"/>
      <protection hidden="1"/>
    </xf>
    <xf numFmtId="0" fontId="51" fillId="0" borderId="17" xfId="3" applyFont="1" applyBorder="1" applyAlignment="1" applyProtection="1">
      <alignment horizontal="center"/>
      <protection hidden="1"/>
    </xf>
    <xf numFmtId="0" fontId="51" fillId="0" borderId="17" xfId="3" applyFont="1" applyBorder="1" applyAlignment="1" applyProtection="1">
      <alignment horizontal="center" vertical="center"/>
      <protection hidden="1"/>
    </xf>
    <xf numFmtId="0" fontId="51" fillId="0" borderId="24" xfId="3" applyFont="1" applyBorder="1" applyAlignment="1" applyProtection="1">
      <alignment horizontal="center"/>
      <protection hidden="1"/>
    </xf>
    <xf numFmtId="0" fontId="51" fillId="0" borderId="21" xfId="3" applyFont="1" applyBorder="1" applyAlignment="1" applyProtection="1">
      <alignment horizontal="center"/>
      <protection hidden="1"/>
    </xf>
    <xf numFmtId="0" fontId="51" fillId="0" borderId="18" xfId="3" applyFont="1" applyBorder="1" applyAlignment="1" applyProtection="1">
      <alignment horizontal="center"/>
      <protection hidden="1"/>
    </xf>
    <xf numFmtId="0" fontId="51" fillId="0" borderId="17" xfId="3" applyFont="1" applyBorder="1" applyAlignment="1" applyProtection="1">
      <alignment horizontal="center" vertical="center" wrapText="1"/>
      <protection hidden="1"/>
    </xf>
    <xf numFmtId="0" fontId="51" fillId="0" borderId="19" xfId="3" applyFont="1" applyBorder="1" applyAlignment="1" applyProtection="1">
      <alignment horizontal="center" vertical="center" wrapText="1"/>
      <protection hidden="1"/>
    </xf>
    <xf numFmtId="0" fontId="51" fillId="0" borderId="11" xfId="3" applyFont="1" applyBorder="1" applyAlignment="1" applyProtection="1">
      <alignment horizontal="center" vertical="center" wrapText="1"/>
      <protection hidden="1"/>
    </xf>
    <xf numFmtId="0" fontId="51" fillId="0" borderId="20" xfId="3" applyFont="1" applyBorder="1" applyAlignment="1" applyProtection="1">
      <alignment horizontal="center" wrapText="1"/>
      <protection hidden="1"/>
    </xf>
    <xf numFmtId="0" fontId="51" fillId="0" borderId="22" xfId="3" applyFont="1" applyBorder="1" applyAlignment="1" applyProtection="1">
      <alignment horizontal="center" wrapText="1"/>
      <protection hidden="1"/>
    </xf>
    <xf numFmtId="0" fontId="43" fillId="0" borderId="24" xfId="3" applyFont="1" applyBorder="1" applyAlignment="1" applyProtection="1">
      <alignment horizontal="justify" vertical="center" wrapText="1"/>
      <protection hidden="1"/>
    </xf>
    <xf numFmtId="0" fontId="43" fillId="0" borderId="21" xfId="3" applyFont="1" applyBorder="1" applyAlignment="1" applyProtection="1">
      <alignment horizontal="justify" vertical="center" wrapText="1"/>
      <protection hidden="1"/>
    </xf>
    <xf numFmtId="0" fontId="43" fillId="0" borderId="18" xfId="3" applyFont="1" applyBorder="1" applyAlignment="1" applyProtection="1">
      <alignment horizontal="justify" vertical="center" wrapText="1"/>
      <protection hidden="1"/>
    </xf>
    <xf numFmtId="0" fontId="51" fillId="0" borderId="20" xfId="3" applyFont="1" applyBorder="1" applyAlignment="1" applyProtection="1">
      <alignment horizontal="center" vertical="center" wrapText="1"/>
      <protection hidden="1"/>
    </xf>
    <xf numFmtId="0" fontId="51" fillId="0" borderId="22" xfId="3" applyFont="1" applyBorder="1" applyAlignment="1" applyProtection="1">
      <alignment horizontal="center" vertical="center" wrapText="1"/>
      <protection hidden="1"/>
    </xf>
    <xf numFmtId="0" fontId="43" fillId="17" borderId="24" xfId="3" applyFont="1" applyFill="1" applyBorder="1" applyAlignment="1" applyProtection="1">
      <alignment horizontal="center" vertical="center"/>
      <protection hidden="1"/>
    </xf>
    <xf numFmtId="0" fontId="43" fillId="17" borderId="21" xfId="3" applyFont="1" applyFill="1" applyBorder="1" applyAlignment="1" applyProtection="1">
      <alignment horizontal="center" vertical="center"/>
      <protection hidden="1"/>
    </xf>
    <xf numFmtId="0" fontId="43" fillId="17" borderId="18" xfId="3" applyFont="1" applyFill="1" applyBorder="1" applyAlignment="1" applyProtection="1">
      <alignment horizontal="center" vertical="center"/>
      <protection hidden="1"/>
    </xf>
    <xf numFmtId="0" fontId="43" fillId="17" borderId="24" xfId="3" applyFont="1" applyFill="1" applyBorder="1" applyAlignment="1" applyProtection="1">
      <alignment horizontal="center" vertical="center" wrapText="1"/>
      <protection hidden="1"/>
    </xf>
    <xf numFmtId="0" fontId="43" fillId="17" borderId="18" xfId="3" applyFont="1" applyFill="1" applyBorder="1" applyAlignment="1" applyProtection="1">
      <alignment horizontal="center" vertical="center" wrapText="1"/>
      <protection hidden="1"/>
    </xf>
    <xf numFmtId="0" fontId="44" fillId="2" borderId="24" xfId="3" applyFont="1" applyFill="1" applyBorder="1" applyAlignment="1" applyProtection="1">
      <alignment horizontal="left" vertical="center"/>
      <protection hidden="1"/>
    </xf>
    <xf numFmtId="0" fontId="44" fillId="2" borderId="21" xfId="3" applyFont="1" applyFill="1" applyBorder="1" applyAlignment="1" applyProtection="1">
      <alignment horizontal="left" vertical="center"/>
      <protection hidden="1"/>
    </xf>
    <xf numFmtId="0" fontId="44" fillId="2" borderId="18" xfId="3" applyFont="1" applyFill="1" applyBorder="1" applyAlignment="1" applyProtection="1">
      <alignment horizontal="left" vertical="center"/>
      <protection hidden="1"/>
    </xf>
    <xf numFmtId="0" fontId="44" fillId="0" borderId="24" xfId="3" applyFont="1" applyBorder="1" applyAlignment="1" applyProtection="1">
      <alignment horizontal="left" vertical="center"/>
      <protection hidden="1"/>
    </xf>
    <xf numFmtId="0" fontId="44" fillId="0" borderId="21" xfId="3" applyFont="1" applyBorder="1" applyAlignment="1" applyProtection="1">
      <alignment horizontal="left" vertical="center"/>
      <protection hidden="1"/>
    </xf>
    <xf numFmtId="0" fontId="44" fillId="0" borderId="18" xfId="3" applyFont="1" applyBorder="1" applyAlignment="1" applyProtection="1">
      <alignment horizontal="left" vertical="center"/>
      <protection hidden="1"/>
    </xf>
    <xf numFmtId="0" fontId="43" fillId="0" borderId="24" xfId="3" applyFont="1" applyBorder="1" applyAlignment="1" applyProtection="1">
      <alignment horizontal="left" vertical="center"/>
      <protection hidden="1"/>
    </xf>
    <xf numFmtId="0" fontId="43" fillId="0" borderId="21" xfId="3" applyFont="1" applyBorder="1" applyAlignment="1" applyProtection="1">
      <alignment horizontal="left" vertical="center"/>
      <protection hidden="1"/>
    </xf>
    <xf numFmtId="0" fontId="43" fillId="0" borderId="18" xfId="3" applyFont="1" applyBorder="1" applyAlignment="1" applyProtection="1">
      <alignment horizontal="left" vertical="center"/>
      <protection hidden="1"/>
    </xf>
    <xf numFmtId="0" fontId="66" fillId="0" borderId="20" xfId="3" applyFont="1" applyBorder="1" applyAlignment="1" applyProtection="1">
      <alignment horizontal="center" vertical="center"/>
      <protection hidden="1"/>
    </xf>
    <xf numFmtId="0" fontId="66" fillId="0" borderId="27" xfId="3" applyFont="1" applyBorder="1" applyAlignment="1" applyProtection="1">
      <alignment horizontal="center" vertical="center"/>
      <protection hidden="1"/>
    </xf>
    <xf numFmtId="0" fontId="66" fillId="0" borderId="9" xfId="3" applyFont="1" applyBorder="1" applyAlignment="1" applyProtection="1">
      <alignment horizontal="center" vertical="center"/>
      <protection hidden="1"/>
    </xf>
    <xf numFmtId="0" fontId="66" fillId="0" borderId="10" xfId="3" applyFont="1" applyBorder="1" applyAlignment="1" applyProtection="1">
      <alignment horizontal="center" vertical="center"/>
      <protection hidden="1"/>
    </xf>
    <xf numFmtId="0" fontId="43" fillId="0" borderId="9" xfId="3" quotePrefix="1" applyFont="1" applyBorder="1" applyAlignment="1" applyProtection="1">
      <alignment horizontal="center" vertical="center"/>
      <protection locked="0"/>
    </xf>
    <xf numFmtId="0" fontId="43" fillId="0" borderId="10" xfId="3" applyFont="1" applyBorder="1" applyAlignment="1" applyProtection="1">
      <alignment horizontal="center" vertical="center"/>
      <protection locked="0"/>
    </xf>
    <xf numFmtId="0" fontId="43" fillId="0" borderId="12" xfId="3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left" vertical="top" wrapText="1"/>
      <protection hidden="1"/>
    </xf>
    <xf numFmtId="0" fontId="12" fillId="0" borderId="0" xfId="0" applyFont="1" applyBorder="1" applyAlignment="1" applyProtection="1">
      <alignment horizontal="left" vertical="top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3" fillId="2" borderId="17" xfId="0" applyFont="1" applyFill="1" applyBorder="1" applyAlignment="1" applyProtection="1">
      <alignment horizontal="center" vertical="center"/>
      <protection hidden="1"/>
    </xf>
    <xf numFmtId="0" fontId="13" fillId="3" borderId="13" xfId="0" applyFont="1" applyFill="1" applyBorder="1" applyAlignment="1" applyProtection="1">
      <alignment horizontal="center" vertical="center"/>
      <protection hidden="1"/>
    </xf>
    <xf numFmtId="0" fontId="89" fillId="0" borderId="17" xfId="8" applyFont="1" applyBorder="1" applyAlignment="1" applyProtection="1">
      <alignment horizontal="left" vertical="top"/>
      <protection hidden="1"/>
    </xf>
    <xf numFmtId="0" fontId="82" fillId="0" borderId="0" xfId="6" applyFont="1" applyAlignment="1" applyProtection="1">
      <alignment horizontal="center" vertical="top"/>
      <protection hidden="1"/>
    </xf>
    <xf numFmtId="0" fontId="89" fillId="0" borderId="0" xfId="6" applyFont="1" applyAlignment="1" applyProtection="1">
      <alignment horizontal="left" vertical="top" wrapText="1"/>
      <protection hidden="1"/>
    </xf>
    <xf numFmtId="0" fontId="82" fillId="5" borderId="45" xfId="6" applyFont="1" applyFill="1" applyBorder="1" applyAlignment="1" applyProtection="1">
      <alignment horizontal="center" vertical="top"/>
      <protection hidden="1"/>
    </xf>
    <xf numFmtId="0" fontId="82" fillId="5" borderId="39" xfId="6" applyFont="1" applyFill="1" applyBorder="1" applyAlignment="1" applyProtection="1">
      <alignment horizontal="center" vertical="top"/>
      <protection hidden="1"/>
    </xf>
    <xf numFmtId="0" fontId="82" fillId="5" borderId="40" xfId="6" applyFont="1" applyFill="1" applyBorder="1" applyAlignment="1" applyProtection="1">
      <alignment horizontal="center" vertical="top"/>
      <protection hidden="1"/>
    </xf>
    <xf numFmtId="0" fontId="80" fillId="0" borderId="45" xfId="6" applyBorder="1" applyAlignment="1" applyProtection="1">
      <alignment horizontal="left" vertical="top"/>
      <protection hidden="1"/>
    </xf>
    <xf numFmtId="0" fontId="80" fillId="0" borderId="39" xfId="6" applyBorder="1" applyAlignment="1" applyProtection="1">
      <alignment horizontal="left" vertical="top"/>
      <protection hidden="1"/>
    </xf>
    <xf numFmtId="0" fontId="80" fillId="0" borderId="49" xfId="6" applyBorder="1" applyAlignment="1" applyProtection="1">
      <alignment horizontal="left" vertical="top"/>
      <protection hidden="1"/>
    </xf>
    <xf numFmtId="0" fontId="80" fillId="0" borderId="43" xfId="6" applyBorder="1" applyAlignment="1" applyProtection="1">
      <alignment horizontal="left" vertical="top"/>
      <protection hidden="1"/>
    </xf>
    <xf numFmtId="0" fontId="80" fillId="0" borderId="17" xfId="6" applyBorder="1" applyAlignment="1" applyProtection="1">
      <alignment horizontal="left" vertical="top"/>
      <protection hidden="1"/>
    </xf>
    <xf numFmtId="0" fontId="80" fillId="0" borderId="24" xfId="6" applyBorder="1" applyAlignment="1" applyProtection="1">
      <alignment horizontal="left" vertical="top"/>
      <protection hidden="1"/>
    </xf>
    <xf numFmtId="0" fontId="82" fillId="0" borderId="24" xfId="6" applyFont="1" applyBorder="1" applyAlignment="1" applyProtection="1">
      <alignment horizontal="center" vertical="top" wrapText="1"/>
      <protection hidden="1"/>
    </xf>
    <xf numFmtId="0" fontId="82" fillId="0" borderId="21" xfId="6" applyFont="1" applyBorder="1" applyAlignment="1" applyProtection="1">
      <alignment horizontal="center" vertical="top"/>
      <protection hidden="1"/>
    </xf>
    <xf numFmtId="0" fontId="82" fillId="0" borderId="18" xfId="6" applyFont="1" applyBorder="1" applyAlignment="1" applyProtection="1">
      <alignment horizontal="center" vertical="top"/>
      <protection hidden="1"/>
    </xf>
    <xf numFmtId="2" fontId="85" fillId="0" borderId="17" xfId="6" applyNumberFormat="1" applyFont="1" applyBorder="1" applyAlignment="1" applyProtection="1">
      <alignment horizontal="center" vertical="center"/>
      <protection hidden="1"/>
    </xf>
    <xf numFmtId="0" fontId="80" fillId="27" borderId="24" xfId="6" applyFill="1" applyBorder="1" applyAlignment="1" applyProtection="1">
      <alignment horizontal="center" vertical="center"/>
      <protection hidden="1"/>
    </xf>
    <xf numFmtId="0" fontId="80" fillId="27" borderId="21" xfId="6" applyFill="1" applyBorder="1" applyAlignment="1" applyProtection="1">
      <alignment horizontal="center" vertical="center"/>
      <protection hidden="1"/>
    </xf>
    <xf numFmtId="0" fontId="80" fillId="27" borderId="18" xfId="6" applyFill="1" applyBorder="1" applyAlignment="1" applyProtection="1">
      <alignment horizontal="center" vertical="center"/>
      <protection hidden="1"/>
    </xf>
    <xf numFmtId="0" fontId="11" fillId="26" borderId="17" xfId="6" applyFont="1" applyFill="1" applyBorder="1" applyAlignment="1" applyProtection="1">
      <alignment horizontal="center" vertical="center"/>
      <protection hidden="1"/>
    </xf>
    <xf numFmtId="0" fontId="80" fillId="0" borderId="24" xfId="6" applyBorder="1" applyAlignment="1" applyProtection="1">
      <alignment horizontal="left" vertical="top" wrapText="1" indent="1"/>
      <protection hidden="1"/>
    </xf>
    <xf numFmtId="0" fontId="80" fillId="0" borderId="21" xfId="6" applyBorder="1" applyAlignment="1" applyProtection="1">
      <alignment horizontal="left" vertical="top" wrapText="1" indent="1"/>
      <protection hidden="1"/>
    </xf>
    <xf numFmtId="0" fontId="80" fillId="0" borderId="18" xfId="6" applyBorder="1" applyAlignment="1" applyProtection="1">
      <alignment horizontal="left" vertical="top" wrapText="1" indent="1"/>
      <protection hidden="1"/>
    </xf>
    <xf numFmtId="2" fontId="11" fillId="0" borderId="17" xfId="6" applyNumberFormat="1" applyFont="1" applyBorder="1" applyAlignment="1" applyProtection="1">
      <alignment horizontal="center" vertical="center"/>
      <protection hidden="1"/>
    </xf>
    <xf numFmtId="0" fontId="11" fillId="0" borderId="17" xfId="6" applyFont="1" applyBorder="1" applyAlignment="1" applyProtection="1">
      <alignment horizontal="center" vertical="center"/>
      <protection hidden="1"/>
    </xf>
    <xf numFmtId="0" fontId="80" fillId="0" borderId="45" xfId="6" applyBorder="1" applyAlignment="1" applyProtection="1">
      <alignment horizontal="left" vertical="center"/>
      <protection hidden="1"/>
    </xf>
    <xf numFmtId="0" fontId="80" fillId="0" borderId="39" xfId="6" applyBorder="1" applyAlignment="1" applyProtection="1">
      <alignment horizontal="left" vertical="center"/>
      <protection hidden="1"/>
    </xf>
    <xf numFmtId="0" fontId="82" fillId="5" borderId="45" xfId="6" applyFont="1" applyFill="1" applyBorder="1" applyAlignment="1" applyProtection="1">
      <alignment horizontal="center" vertical="center"/>
      <protection hidden="1"/>
    </xf>
    <xf numFmtId="0" fontId="82" fillId="5" borderId="39" xfId="6" applyFont="1" applyFill="1" applyBorder="1" applyAlignment="1" applyProtection="1">
      <alignment horizontal="center" vertical="center"/>
      <protection hidden="1"/>
    </xf>
    <xf numFmtId="0" fontId="82" fillId="5" borderId="40" xfId="6" applyFont="1" applyFill="1" applyBorder="1" applyAlignment="1" applyProtection="1">
      <alignment horizontal="center" vertical="center"/>
      <protection hidden="1"/>
    </xf>
    <xf numFmtId="0" fontId="80" fillId="0" borderId="49" xfId="6" applyBorder="1" applyAlignment="1" applyProtection="1">
      <alignment horizontal="left" vertical="center"/>
      <protection hidden="1"/>
    </xf>
    <xf numFmtId="0" fontId="80" fillId="0" borderId="43" xfId="6" applyBorder="1" applyAlignment="1" applyProtection="1">
      <alignment horizontal="left" vertical="center"/>
      <protection hidden="1"/>
    </xf>
    <xf numFmtId="2" fontId="11" fillId="0" borderId="24" xfId="6" applyNumberFormat="1" applyFont="1" applyBorder="1" applyAlignment="1" applyProtection="1">
      <alignment horizontal="center" vertical="center"/>
      <protection hidden="1"/>
    </xf>
    <xf numFmtId="2" fontId="11" fillId="0" borderId="21" xfId="6" applyNumberFormat="1" applyFont="1" applyBorder="1" applyAlignment="1" applyProtection="1">
      <alignment horizontal="center" vertical="center"/>
      <protection hidden="1"/>
    </xf>
    <xf numFmtId="2" fontId="11" fillId="0" borderId="18" xfId="6" applyNumberFormat="1" applyFont="1" applyBorder="1" applyAlignment="1" applyProtection="1">
      <alignment horizontal="center" vertical="center"/>
      <protection hidden="1"/>
    </xf>
    <xf numFmtId="0" fontId="11" fillId="26" borderId="24" xfId="6" applyFont="1" applyFill="1" applyBorder="1" applyAlignment="1" applyProtection="1">
      <alignment horizontal="center" vertical="center"/>
      <protection hidden="1"/>
    </xf>
    <xf numFmtId="0" fontId="11" fillId="26" borderId="21" xfId="6" applyFont="1" applyFill="1" applyBorder="1" applyAlignment="1" applyProtection="1">
      <alignment horizontal="center" vertical="center"/>
      <protection hidden="1"/>
    </xf>
    <xf numFmtId="0" fontId="11" fillId="26" borderId="18" xfId="6" applyFont="1" applyFill="1" applyBorder="1" applyAlignment="1" applyProtection="1">
      <alignment horizontal="center" vertical="center"/>
      <protection hidden="1"/>
    </xf>
    <xf numFmtId="0" fontId="80" fillId="0" borderId="24" xfId="6" applyBorder="1" applyAlignment="1" applyProtection="1">
      <alignment horizontal="left" vertical="center" wrapText="1" indent="1"/>
      <protection hidden="1"/>
    </xf>
    <xf numFmtId="0" fontId="80" fillId="0" borderId="21" xfId="6" applyBorder="1" applyAlignment="1" applyProtection="1">
      <alignment horizontal="left" vertical="center" wrapText="1" indent="1"/>
      <protection hidden="1"/>
    </xf>
    <xf numFmtId="0" fontId="80" fillId="0" borderId="18" xfId="6" applyBorder="1" applyAlignment="1" applyProtection="1">
      <alignment horizontal="left" vertical="center" wrapText="1" indent="1"/>
      <protection hidden="1"/>
    </xf>
    <xf numFmtId="0" fontId="80" fillId="0" borderId="0" xfId="6" applyAlignment="1">
      <alignment horizontal="center" vertical="top"/>
    </xf>
    <xf numFmtId="0" fontId="82" fillId="0" borderId="0" xfId="6" applyFont="1" applyAlignment="1">
      <alignment horizontal="center" vertical="top"/>
    </xf>
    <xf numFmtId="0" fontId="89" fillId="0" borderId="0" xfId="6" applyFont="1" applyAlignment="1">
      <alignment horizontal="left" vertical="top" wrapText="1"/>
    </xf>
    <xf numFmtId="0" fontId="82" fillId="5" borderId="45" xfId="6" applyFont="1" applyFill="1" applyBorder="1" applyAlignment="1">
      <alignment horizontal="center" vertical="top"/>
    </xf>
    <xf numFmtId="0" fontId="82" fillId="5" borderId="39" xfId="6" applyFont="1" applyFill="1" applyBorder="1" applyAlignment="1">
      <alignment horizontal="center" vertical="top"/>
    </xf>
    <xf numFmtId="0" fontId="82" fillId="5" borderId="40" xfId="6" applyFont="1" applyFill="1" applyBorder="1" applyAlignment="1">
      <alignment horizontal="center" vertical="top"/>
    </xf>
    <xf numFmtId="0" fontId="82" fillId="24" borderId="49" xfId="6" applyFont="1" applyFill="1" applyBorder="1" applyAlignment="1">
      <alignment horizontal="left" vertical="top"/>
    </xf>
    <xf numFmtId="0" fontId="11" fillId="0" borderId="43" xfId="6" applyFont="1" applyBorder="1" applyAlignment="1">
      <alignment vertical="top"/>
    </xf>
    <xf numFmtId="0" fontId="11" fillId="0" borderId="53" xfId="6" applyFont="1" applyBorder="1" applyAlignment="1">
      <alignment vertical="top"/>
    </xf>
    <xf numFmtId="0" fontId="80" fillId="0" borderId="17" xfId="6" applyBorder="1" applyAlignment="1">
      <alignment horizontal="left" vertical="top" wrapText="1"/>
    </xf>
    <xf numFmtId="0" fontId="91" fillId="0" borderId="17" xfId="6" applyFont="1" applyBorder="1" applyAlignment="1">
      <alignment horizontal="center" vertical="center" wrapText="1"/>
    </xf>
    <xf numFmtId="0" fontId="80" fillId="27" borderId="45" xfId="6" applyFill="1" applyBorder="1" applyAlignment="1">
      <alignment horizontal="center" vertical="center"/>
    </xf>
    <xf numFmtId="0" fontId="11" fillId="0" borderId="39" xfId="6" applyFont="1" applyBorder="1" applyAlignment="1">
      <alignment vertical="center"/>
    </xf>
    <xf numFmtId="0" fontId="11" fillId="0" borderId="40" xfId="6" applyFont="1" applyBorder="1" applyAlignment="1">
      <alignment vertical="center"/>
    </xf>
    <xf numFmtId="0" fontId="80" fillId="24" borderId="45" xfId="6" quotePrefix="1" applyFill="1" applyBorder="1" applyAlignment="1">
      <alignment horizontal="center" vertical="top"/>
    </xf>
    <xf numFmtId="0" fontId="11" fillId="0" borderId="39" xfId="6" applyFont="1" applyBorder="1" applyAlignment="1">
      <alignment vertical="top"/>
    </xf>
    <xf numFmtId="0" fontId="11" fillId="0" borderId="40" xfId="6" applyFont="1" applyBorder="1" applyAlignment="1">
      <alignment vertical="top"/>
    </xf>
    <xf numFmtId="0" fontId="82" fillId="24" borderId="45" xfId="6" applyFont="1" applyFill="1" applyBorder="1" applyAlignment="1">
      <alignment horizontal="left" vertical="top"/>
    </xf>
    <xf numFmtId="0" fontId="80" fillId="0" borderId="45" xfId="6" applyBorder="1" applyAlignment="1">
      <alignment horizontal="left" vertical="top" wrapText="1"/>
    </xf>
    <xf numFmtId="0" fontId="11" fillId="0" borderId="39" xfId="6" applyFont="1" applyBorder="1" applyAlignment="1">
      <alignment horizontal="left" vertical="top"/>
    </xf>
    <xf numFmtId="0" fontId="11" fillId="0" borderId="40" xfId="6" applyFont="1" applyBorder="1" applyAlignment="1">
      <alignment horizontal="left" vertical="top"/>
    </xf>
    <xf numFmtId="0" fontId="80" fillId="0" borderId="45" xfId="6" applyBorder="1" applyAlignment="1">
      <alignment horizontal="center" vertical="top" wrapText="1"/>
    </xf>
    <xf numFmtId="0" fontId="56" fillId="0" borderId="0" xfId="3" applyFont="1" applyAlignment="1" applyProtection="1">
      <alignment horizontal="center"/>
      <protection hidden="1"/>
    </xf>
    <xf numFmtId="0" fontId="57" fillId="0" borderId="0" xfId="3" quotePrefix="1" applyFont="1" applyAlignment="1" applyProtection="1">
      <alignment horizontal="center"/>
      <protection hidden="1"/>
    </xf>
    <xf numFmtId="0" fontId="58" fillId="15" borderId="24" xfId="3" applyFont="1" applyFill="1" applyBorder="1" applyAlignment="1" applyProtection="1">
      <alignment horizontal="center" vertical="center"/>
      <protection hidden="1"/>
    </xf>
    <xf numFmtId="0" fontId="58" fillId="15" borderId="21" xfId="3" applyFont="1" applyFill="1" applyBorder="1" applyAlignment="1" applyProtection="1">
      <alignment horizontal="center" vertical="center"/>
      <protection hidden="1"/>
    </xf>
    <xf numFmtId="0" fontId="58" fillId="15" borderId="18" xfId="3" applyFont="1" applyFill="1" applyBorder="1" applyAlignment="1" applyProtection="1">
      <alignment horizontal="center" vertical="center"/>
      <protection hidden="1"/>
    </xf>
    <xf numFmtId="0" fontId="43" fillId="14" borderId="24" xfId="3" applyFont="1" applyFill="1" applyBorder="1" applyAlignment="1" applyProtection="1">
      <alignment horizontal="justify" vertical="center" wrapText="1"/>
      <protection hidden="1"/>
    </xf>
    <xf numFmtId="0" fontId="43" fillId="14" borderId="21" xfId="3" applyFont="1" applyFill="1" applyBorder="1" applyAlignment="1" applyProtection="1">
      <alignment horizontal="justify" vertical="center" wrapText="1"/>
      <protection hidden="1"/>
    </xf>
    <xf numFmtId="0" fontId="43" fillId="14" borderId="18" xfId="3" applyFont="1" applyFill="1" applyBorder="1" applyAlignment="1" applyProtection="1">
      <alignment horizontal="justify" vertical="center" wrapText="1"/>
      <protection hidden="1"/>
    </xf>
    <xf numFmtId="0" fontId="43" fillId="13" borderId="24" xfId="3" applyFont="1" applyFill="1" applyBorder="1" applyAlignment="1" applyProtection="1">
      <alignment horizontal="justify" vertical="center" wrapText="1"/>
      <protection hidden="1"/>
    </xf>
    <xf numFmtId="0" fontId="43" fillId="13" borderId="21" xfId="3" applyFont="1" applyFill="1" applyBorder="1" applyAlignment="1" applyProtection="1">
      <alignment horizontal="justify" vertical="center" wrapText="1"/>
      <protection hidden="1"/>
    </xf>
    <xf numFmtId="0" fontId="43" fillId="13" borderId="18" xfId="3" applyFont="1" applyFill="1" applyBorder="1" applyAlignment="1" applyProtection="1">
      <alignment horizontal="justify" vertical="center" wrapText="1"/>
      <protection hidden="1"/>
    </xf>
    <xf numFmtId="0" fontId="43" fillId="12" borderId="24" xfId="3" applyFont="1" applyFill="1" applyBorder="1" applyAlignment="1" applyProtection="1">
      <alignment horizontal="justify" vertical="center" wrapText="1"/>
      <protection hidden="1"/>
    </xf>
    <xf numFmtId="0" fontId="43" fillId="12" borderId="21" xfId="3" applyFont="1" applyFill="1" applyBorder="1" applyAlignment="1" applyProtection="1">
      <alignment horizontal="justify" vertical="center" wrapText="1"/>
      <protection hidden="1"/>
    </xf>
    <xf numFmtId="0" fontId="43" fillId="12" borderId="18" xfId="3" applyFont="1" applyFill="1" applyBorder="1" applyAlignment="1" applyProtection="1">
      <alignment horizontal="justify" vertical="center" wrapText="1"/>
      <protection hidden="1"/>
    </xf>
    <xf numFmtId="0" fontId="61" fillId="13" borderId="24" xfId="3" applyFont="1" applyFill="1" applyBorder="1" applyAlignment="1" applyProtection="1">
      <alignment horizontal="justify" vertical="center" wrapText="1"/>
      <protection hidden="1"/>
    </xf>
    <xf numFmtId="0" fontId="61" fillId="13" borderId="21" xfId="3" applyFont="1" applyFill="1" applyBorder="1" applyAlignment="1" applyProtection="1">
      <alignment horizontal="justify" vertical="center" wrapText="1"/>
      <protection hidden="1"/>
    </xf>
    <xf numFmtId="0" fontId="61" fillId="13" borderId="18" xfId="3" applyFont="1" applyFill="1" applyBorder="1" applyAlignment="1" applyProtection="1">
      <alignment horizontal="justify" vertical="center" wrapText="1"/>
      <protection hidden="1"/>
    </xf>
    <xf numFmtId="0" fontId="61" fillId="14" borderId="24" xfId="3" applyFont="1" applyFill="1" applyBorder="1" applyAlignment="1" applyProtection="1">
      <alignment horizontal="justify" vertical="center" wrapText="1"/>
      <protection hidden="1"/>
    </xf>
    <xf numFmtId="0" fontId="61" fillId="14" borderId="21" xfId="3" applyFont="1" applyFill="1" applyBorder="1" applyAlignment="1" applyProtection="1">
      <alignment horizontal="justify" vertical="center" wrapText="1"/>
      <protection hidden="1"/>
    </xf>
    <xf numFmtId="0" fontId="61" fillId="14" borderId="18" xfId="3" applyFont="1" applyFill="1" applyBorder="1" applyAlignment="1" applyProtection="1">
      <alignment horizontal="justify" vertical="center" wrapText="1"/>
      <protection hidden="1"/>
    </xf>
    <xf numFmtId="0" fontId="55" fillId="0" borderId="30" xfId="3" applyFont="1" applyBorder="1" applyAlignment="1" applyProtection="1">
      <alignment horizontal="left" vertical="center"/>
      <protection hidden="1"/>
    </xf>
    <xf numFmtId="0" fontId="55" fillId="0" borderId="31" xfId="3" applyFont="1" applyBorder="1" applyAlignment="1" applyProtection="1">
      <alignment horizontal="left" vertical="center"/>
      <protection hidden="1"/>
    </xf>
    <xf numFmtId="0" fontId="55" fillId="0" borderId="32" xfId="3" applyFont="1" applyBorder="1" applyAlignment="1" applyProtection="1">
      <alignment horizontal="left" vertical="center"/>
      <protection hidden="1"/>
    </xf>
    <xf numFmtId="0" fontId="66" fillId="3" borderId="21" xfId="3" applyFont="1" applyFill="1" applyBorder="1" applyAlignment="1" applyProtection="1">
      <alignment horizontal="left" vertical="center" wrapText="1"/>
      <protection locked="0"/>
    </xf>
    <xf numFmtId="0" fontId="76" fillId="11" borderId="21" xfId="3" applyFont="1" applyFill="1" applyBorder="1" applyAlignment="1" applyProtection="1">
      <alignment horizontal="left" vertical="center"/>
      <protection locked="0"/>
    </xf>
    <xf numFmtId="0" fontId="99" fillId="0" borderId="0" xfId="3" applyFont="1" applyFill="1" applyAlignment="1" applyProtection="1">
      <alignment horizontal="center"/>
      <protection hidden="1"/>
    </xf>
    <xf numFmtId="0" fontId="68" fillId="0" borderId="0" xfId="3" applyFont="1" applyFill="1" applyAlignment="1" applyProtection="1">
      <alignment horizontal="center"/>
      <protection hidden="1"/>
    </xf>
    <xf numFmtId="49" fontId="76" fillId="11" borderId="21" xfId="3" quotePrefix="1" applyNumberFormat="1" applyFont="1" applyFill="1" applyBorder="1" applyAlignment="1" applyProtection="1">
      <alignment horizontal="left" vertical="center"/>
      <protection locked="0"/>
    </xf>
    <xf numFmtId="0" fontId="19" fillId="0" borderId="21" xfId="0" quotePrefix="1" applyFont="1" applyBorder="1" applyAlignment="1" applyProtection="1">
      <alignment horizontal="left" vertical="center"/>
      <protection locked="0"/>
    </xf>
    <xf numFmtId="0" fontId="19" fillId="0" borderId="18" xfId="0" quotePrefix="1" applyFont="1" applyBorder="1" applyAlignment="1" applyProtection="1">
      <alignment horizontal="left" vertical="center"/>
      <protection locked="0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18" xfId="0" applyFont="1" applyBorder="1" applyAlignment="1" applyProtection="1">
      <alignment horizontal="left" vertical="center"/>
      <protection hidden="1"/>
    </xf>
    <xf numFmtId="0" fontId="76" fillId="0" borderId="21" xfId="3" applyFont="1" applyBorder="1" applyAlignment="1" applyProtection="1">
      <alignment horizontal="left" vertical="center"/>
      <protection locked="0"/>
    </xf>
    <xf numFmtId="0" fontId="76" fillId="0" borderId="18" xfId="3" applyFont="1" applyBorder="1" applyAlignment="1" applyProtection="1">
      <alignment horizontal="left" vertical="center"/>
      <protection locked="0"/>
    </xf>
    <xf numFmtId="0" fontId="19" fillId="0" borderId="21" xfId="0" applyFont="1" applyBorder="1" applyAlignment="1" applyProtection="1">
      <alignment horizontal="left" vertical="center"/>
      <protection locked="0"/>
    </xf>
    <xf numFmtId="0" fontId="19" fillId="0" borderId="21" xfId="0" quotePrefix="1" applyFont="1" applyFill="1" applyBorder="1" applyAlignment="1" applyProtection="1">
      <alignment horizontal="left" vertical="center"/>
      <protection locked="0"/>
    </xf>
    <xf numFmtId="0" fontId="66" fillId="4" borderId="21" xfId="3" applyFont="1" applyFill="1" applyBorder="1" applyAlignment="1" applyProtection="1">
      <alignment horizontal="left" vertical="center" wrapText="1"/>
      <protection locked="0"/>
    </xf>
    <xf numFmtId="0" fontId="66" fillId="4" borderId="27" xfId="3" applyFont="1" applyFill="1" applyBorder="1" applyAlignment="1" applyProtection="1">
      <alignment horizontal="left" vertical="center" wrapText="1"/>
      <protection locked="0"/>
    </xf>
    <xf numFmtId="0" fontId="19" fillId="0" borderId="21" xfId="0" applyFont="1" applyBorder="1" applyAlignment="1" applyProtection="1">
      <alignment horizontal="left" vertical="center" wrapText="1"/>
      <protection locked="0"/>
    </xf>
    <xf numFmtId="0" fontId="19" fillId="0" borderId="18" xfId="0" applyFont="1" applyBorder="1" applyAlignment="1" applyProtection="1">
      <alignment horizontal="left" vertical="center" wrapText="1"/>
      <protection locked="0"/>
    </xf>
    <xf numFmtId="0" fontId="80" fillId="24" borderId="39" xfId="6" quotePrefix="1" applyFill="1" applyBorder="1" applyAlignment="1">
      <alignment horizontal="center" vertical="top"/>
    </xf>
    <xf numFmtId="0" fontId="80" fillId="27" borderId="39" xfId="6" applyFill="1" applyBorder="1" applyAlignment="1">
      <alignment horizontal="center" vertical="center"/>
    </xf>
    <xf numFmtId="0" fontId="80" fillId="0" borderId="39" xfId="6" applyBorder="1" applyAlignment="1">
      <alignment horizontal="left" vertical="top" wrapText="1"/>
    </xf>
    <xf numFmtId="0" fontId="80" fillId="0" borderId="40" xfId="6" applyBorder="1" applyAlignment="1">
      <alignment horizontal="left" vertical="top" wrapText="1"/>
    </xf>
    <xf numFmtId="0" fontId="80" fillId="0" borderId="45" xfId="6" applyBorder="1" applyAlignment="1">
      <alignment horizontal="right" vertical="top" wrapText="1"/>
    </xf>
    <xf numFmtId="0" fontId="80" fillId="0" borderId="39" xfId="6" applyBorder="1" applyAlignment="1">
      <alignment horizontal="right" vertical="top" wrapText="1"/>
    </xf>
    <xf numFmtId="0" fontId="80" fillId="0" borderId="45" xfId="6" applyBorder="1" applyAlignment="1">
      <alignment horizontal="left" vertical="top"/>
    </xf>
    <xf numFmtId="0" fontId="80" fillId="0" borderId="39" xfId="6" applyBorder="1" applyAlignment="1">
      <alignment horizontal="left" vertical="top"/>
    </xf>
    <xf numFmtId="0" fontId="80" fillId="0" borderId="47" xfId="6" applyBorder="1" applyAlignment="1">
      <alignment horizontal="center" vertical="top"/>
    </xf>
    <xf numFmtId="0" fontId="80" fillId="0" borderId="23" xfId="6" applyBorder="1" applyAlignment="1">
      <alignment horizontal="center" vertical="top"/>
    </xf>
    <xf numFmtId="0" fontId="80" fillId="0" borderId="11" xfId="6" applyBorder="1" applyAlignment="1">
      <alignment horizontal="center" vertical="top"/>
    </xf>
    <xf numFmtId="0" fontId="11" fillId="0" borderId="25" xfId="6" applyFont="1" applyBorder="1" applyAlignment="1">
      <alignment horizontal="left" vertical="top" wrapText="1"/>
    </xf>
    <xf numFmtId="0" fontId="11" fillId="0" borderId="0" xfId="6" applyFont="1" applyAlignment="1">
      <alignment horizontal="left" vertical="top" wrapText="1"/>
    </xf>
    <xf numFmtId="0" fontId="11" fillId="0" borderId="26" xfId="6" applyFont="1" applyBorder="1" applyAlignment="1">
      <alignment horizontal="left" vertical="top" wrapText="1"/>
    </xf>
    <xf numFmtId="0" fontId="11" fillId="0" borderId="9" xfId="6" applyFont="1" applyBorder="1" applyAlignment="1">
      <alignment horizontal="left" vertical="top" wrapText="1"/>
    </xf>
    <xf numFmtId="0" fontId="11" fillId="0" borderId="10" xfId="6" applyFont="1" applyBorder="1" applyAlignment="1">
      <alignment horizontal="left" vertical="top" wrapText="1"/>
    </xf>
    <xf numFmtId="0" fontId="11" fillId="0" borderId="12" xfId="6" applyFont="1" applyBorder="1" applyAlignment="1">
      <alignment horizontal="left" vertical="top" wrapText="1"/>
    </xf>
    <xf numFmtId="0" fontId="80" fillId="0" borderId="56" xfId="6" applyBorder="1" applyAlignment="1">
      <alignment horizontal="left" vertical="top" wrapText="1"/>
    </xf>
    <xf numFmtId="0" fontId="80" fillId="0" borderId="46" xfId="6" applyBorder="1" applyAlignment="1">
      <alignment horizontal="left" vertical="top" wrapText="1"/>
    </xf>
    <xf numFmtId="0" fontId="80" fillId="0" borderId="65" xfId="6" applyBorder="1" applyAlignment="1">
      <alignment horizontal="left" vertical="top" wrapText="1"/>
    </xf>
    <xf numFmtId="0" fontId="11" fillId="0" borderId="20" xfId="6" applyFont="1" applyBorder="1" applyAlignment="1">
      <alignment horizontal="center" vertical="top" wrapText="1"/>
    </xf>
    <xf numFmtId="0" fontId="11" fillId="0" borderId="27" xfId="6" applyFont="1" applyBorder="1" applyAlignment="1">
      <alignment horizontal="center" vertical="top" wrapText="1"/>
    </xf>
    <xf numFmtId="0" fontId="11" fillId="0" borderId="22" xfId="6" applyFont="1" applyBorder="1" applyAlignment="1">
      <alignment horizontal="center" vertical="top" wrapText="1"/>
    </xf>
    <xf numFmtId="0" fontId="11" fillId="0" borderId="25" xfId="6" applyFont="1" applyBorder="1" applyAlignment="1">
      <alignment horizontal="center" vertical="top" wrapText="1"/>
    </xf>
    <xf numFmtId="0" fontId="11" fillId="0" borderId="0" xfId="6" applyFont="1" applyBorder="1" applyAlignment="1">
      <alignment horizontal="center" vertical="top" wrapText="1"/>
    </xf>
    <xf numFmtId="0" fontId="11" fillId="0" borderId="26" xfId="6" applyFont="1" applyBorder="1" applyAlignment="1">
      <alignment horizontal="center" vertical="top" wrapText="1"/>
    </xf>
    <xf numFmtId="0" fontId="82" fillId="24" borderId="17" xfId="6" applyFont="1" applyFill="1" applyBorder="1" applyAlignment="1">
      <alignment horizontal="left" vertical="top"/>
    </xf>
    <xf numFmtId="0" fontId="11" fillId="0" borderId="17" xfId="6" applyFont="1" applyBorder="1" applyAlignment="1">
      <alignment horizontal="left" vertical="top"/>
    </xf>
    <xf numFmtId="0" fontId="80" fillId="0" borderId="48" xfId="6" applyBorder="1" applyAlignment="1">
      <alignment horizontal="center" vertical="top"/>
    </xf>
    <xf numFmtId="0" fontId="80" fillId="0" borderId="38" xfId="6" applyBorder="1" applyAlignment="1">
      <alignment horizontal="left" vertical="top" wrapText="1"/>
    </xf>
    <xf numFmtId="0" fontId="80" fillId="0" borderId="19" xfId="6" applyBorder="1" applyAlignment="1">
      <alignment horizontal="center" vertical="top"/>
    </xf>
    <xf numFmtId="0" fontId="11" fillId="0" borderId="20" xfId="6" applyFont="1" applyBorder="1" applyAlignment="1">
      <alignment horizontal="left" vertical="top" wrapText="1"/>
    </xf>
    <xf numFmtId="0" fontId="11" fillId="0" borderId="27" xfId="6" applyFont="1" applyBorder="1" applyAlignment="1">
      <alignment horizontal="left" vertical="top" wrapText="1"/>
    </xf>
    <xf numFmtId="0" fontId="11" fillId="0" borderId="22" xfId="6" applyFont="1" applyBorder="1" applyAlignment="1">
      <alignment horizontal="left" vertical="top" wrapText="1"/>
    </xf>
    <xf numFmtId="0" fontId="80" fillId="0" borderId="36" xfId="6" applyBorder="1" applyAlignment="1">
      <alignment horizontal="left" vertical="top" wrapText="1"/>
    </xf>
    <xf numFmtId="0" fontId="80" fillId="0" borderId="34" xfId="6" applyBorder="1" applyAlignment="1">
      <alignment horizontal="left" vertical="top" wrapText="1"/>
    </xf>
    <xf numFmtId="0" fontId="80" fillId="0" borderId="35" xfId="6" applyBorder="1" applyAlignment="1">
      <alignment horizontal="left" vertical="top" wrapText="1"/>
    </xf>
    <xf numFmtId="0" fontId="80" fillId="0" borderId="57" xfId="6" applyBorder="1" applyAlignment="1">
      <alignment horizontal="left" vertical="top" wrapText="1"/>
    </xf>
    <xf numFmtId="0" fontId="80" fillId="0" borderId="51" xfId="6" applyBorder="1" applyAlignment="1">
      <alignment horizontal="left" vertical="top" wrapText="1"/>
    </xf>
    <xf numFmtId="0" fontId="80" fillId="0" borderId="61" xfId="6" applyBorder="1" applyAlignment="1">
      <alignment horizontal="left" vertical="top" wrapText="1"/>
    </xf>
    <xf numFmtId="0" fontId="80" fillId="0" borderId="42" xfId="6" applyBorder="1" applyAlignment="1">
      <alignment horizontal="left" vertical="top" wrapText="1"/>
    </xf>
    <xf numFmtId="0" fontId="80" fillId="0" borderId="43" xfId="6" applyBorder="1" applyAlignment="1">
      <alignment horizontal="left" vertical="top" wrapText="1"/>
    </xf>
    <xf numFmtId="0" fontId="80" fillId="0" borderId="53" xfId="6" applyBorder="1" applyAlignment="1">
      <alignment horizontal="left" vertical="top" wrapText="1"/>
    </xf>
    <xf numFmtId="0" fontId="82" fillId="24" borderId="54" xfId="6" applyFont="1" applyFill="1" applyBorder="1" applyAlignment="1">
      <alignment horizontal="left" vertical="top"/>
    </xf>
    <xf numFmtId="0" fontId="11" fillId="0" borderId="0" xfId="6" applyFont="1" applyAlignment="1">
      <alignment vertical="top"/>
    </xf>
    <xf numFmtId="0" fontId="11" fillId="0" borderId="46" xfId="6" applyFont="1" applyBorder="1" applyAlignment="1">
      <alignment vertical="top"/>
    </xf>
    <xf numFmtId="0" fontId="11" fillId="0" borderId="55" xfId="6" applyFont="1" applyBorder="1" applyAlignment="1">
      <alignment vertical="top"/>
    </xf>
    <xf numFmtId="0" fontId="11" fillId="0" borderId="42" xfId="6" applyFont="1" applyBorder="1" applyAlignment="1">
      <alignment horizontal="left" vertical="top" wrapText="1"/>
    </xf>
    <xf numFmtId="0" fontId="11" fillId="0" borderId="43" xfId="6" applyFont="1" applyBorder="1" applyAlignment="1">
      <alignment horizontal="left" vertical="top" wrapText="1"/>
    </xf>
    <xf numFmtId="0" fontId="11" fillId="0" borderId="53" xfId="6" applyFont="1" applyBorder="1" applyAlignment="1">
      <alignment horizontal="left" vertical="top" wrapText="1"/>
    </xf>
    <xf numFmtId="0" fontId="11" fillId="0" borderId="59" xfId="6" applyFont="1" applyBorder="1" applyAlignment="1">
      <alignment horizontal="left" vertical="top" wrapText="1"/>
    </xf>
    <xf numFmtId="0" fontId="11" fillId="0" borderId="62" xfId="6" applyFont="1" applyBorder="1" applyAlignment="1">
      <alignment horizontal="left" vertical="top" wrapText="1"/>
    </xf>
    <xf numFmtId="0" fontId="80" fillId="27" borderId="17" xfId="6" applyFill="1" applyBorder="1" applyAlignment="1">
      <alignment horizontal="center" vertical="center"/>
    </xf>
    <xf numFmtId="0" fontId="80" fillId="24" borderId="56" xfId="6" quotePrefix="1" applyFill="1" applyBorder="1" applyAlignment="1">
      <alignment horizontal="center" vertical="center"/>
    </xf>
    <xf numFmtId="0" fontId="11" fillId="0" borderId="46" xfId="6" applyFont="1" applyBorder="1" applyAlignment="1">
      <alignment vertical="center"/>
    </xf>
    <xf numFmtId="0" fontId="11" fillId="0" borderId="65" xfId="6" applyFont="1" applyBorder="1" applyAlignment="1">
      <alignment vertical="center"/>
    </xf>
    <xf numFmtId="0" fontId="80" fillId="24" borderId="56" xfId="6" quotePrefix="1" applyFill="1" applyBorder="1" applyAlignment="1">
      <alignment horizontal="center" vertical="center" wrapText="1"/>
    </xf>
    <xf numFmtId="0" fontId="80" fillId="24" borderId="46" xfId="6" quotePrefix="1" applyFill="1" applyBorder="1" applyAlignment="1">
      <alignment horizontal="center" vertical="center" wrapText="1"/>
    </xf>
    <xf numFmtId="0" fontId="80" fillId="24" borderId="55" xfId="6" quotePrefix="1" applyFill="1" applyBorder="1" applyAlignment="1">
      <alignment horizontal="center" vertical="center" wrapText="1"/>
    </xf>
    <xf numFmtId="0" fontId="103" fillId="0" borderId="67" xfId="6" applyFont="1" applyBorder="1" applyAlignment="1">
      <alignment horizontal="center" vertical="center" wrapText="1"/>
    </xf>
    <xf numFmtId="0" fontId="103" fillId="0" borderId="68" xfId="6" applyFont="1" applyBorder="1" applyAlignment="1">
      <alignment horizontal="center" vertical="center" wrapText="1"/>
    </xf>
    <xf numFmtId="0" fontId="103" fillId="0" borderId="69" xfId="6" applyFont="1" applyBorder="1" applyAlignment="1">
      <alignment horizontal="center" vertical="center" wrapText="1"/>
    </xf>
    <xf numFmtId="0" fontId="103" fillId="0" borderId="70" xfId="6" applyFont="1" applyBorder="1" applyAlignment="1">
      <alignment horizontal="center" vertical="center" wrapText="1"/>
    </xf>
    <xf numFmtId="0" fontId="103" fillId="0" borderId="0" xfId="6" applyFont="1" applyBorder="1" applyAlignment="1">
      <alignment horizontal="center" vertical="center" wrapText="1"/>
    </xf>
    <xf numFmtId="0" fontId="103" fillId="0" borderId="71" xfId="6" applyFont="1" applyBorder="1" applyAlignment="1">
      <alignment horizontal="center" vertical="center" wrapText="1"/>
    </xf>
    <xf numFmtId="0" fontId="103" fillId="0" borderId="72" xfId="6" applyFont="1" applyBorder="1" applyAlignment="1">
      <alignment horizontal="center" vertical="center" wrapText="1"/>
    </xf>
    <xf numFmtId="0" fontId="103" fillId="0" borderId="73" xfId="6" applyFont="1" applyBorder="1" applyAlignment="1">
      <alignment horizontal="center" vertical="center" wrapText="1"/>
    </xf>
    <xf numFmtId="0" fontId="103" fillId="0" borderId="74" xfId="6" applyFont="1" applyBorder="1" applyAlignment="1">
      <alignment horizontal="center" vertical="center" wrapText="1"/>
    </xf>
    <xf numFmtId="0" fontId="80" fillId="0" borderId="57" xfId="6" applyBorder="1" applyAlignment="1">
      <alignment horizontal="left" vertical="center"/>
    </xf>
    <xf numFmtId="0" fontId="80" fillId="0" borderId="51" xfId="6" applyBorder="1" applyAlignment="1">
      <alignment horizontal="left" vertical="center"/>
    </xf>
    <xf numFmtId="0" fontId="82" fillId="0" borderId="0" xfId="6" applyFont="1" applyAlignment="1">
      <alignment vertical="top"/>
    </xf>
    <xf numFmtId="0" fontId="80" fillId="0" borderId="0" xfId="6" applyAlignment="1">
      <alignment horizontal="left" vertical="center"/>
    </xf>
    <xf numFmtId="0" fontId="89" fillId="0" borderId="0" xfId="6" applyFont="1" applyAlignment="1">
      <alignment horizontal="left" vertical="center" wrapText="1"/>
    </xf>
    <xf numFmtId="0" fontId="82" fillId="5" borderId="33" xfId="6" applyFont="1" applyFill="1" applyBorder="1" applyAlignment="1">
      <alignment horizontal="center" vertical="center"/>
    </xf>
    <xf numFmtId="0" fontId="82" fillId="5" borderId="34" xfId="6" applyFont="1" applyFill="1" applyBorder="1" applyAlignment="1">
      <alignment horizontal="center" vertical="center"/>
    </xf>
    <xf numFmtId="0" fontId="82" fillId="5" borderId="35" xfId="6" applyFont="1" applyFill="1" applyBorder="1" applyAlignment="1">
      <alignment horizontal="center" vertical="center"/>
    </xf>
    <xf numFmtId="0" fontId="82" fillId="5" borderId="36" xfId="6" applyFont="1" applyFill="1" applyBorder="1" applyAlignment="1">
      <alignment horizontal="center" vertical="center"/>
    </xf>
    <xf numFmtId="0" fontId="85" fillId="5" borderId="34" xfId="6" applyFont="1" applyFill="1" applyBorder="1" applyAlignment="1">
      <alignment horizontal="center" vertical="center"/>
    </xf>
    <xf numFmtId="0" fontId="85" fillId="5" borderId="37" xfId="6" applyFont="1" applyFill="1" applyBorder="1" applyAlignment="1">
      <alignment horizontal="center" vertical="center"/>
    </xf>
    <xf numFmtId="0" fontId="80" fillId="0" borderId="38" xfId="6" applyBorder="1" applyAlignment="1">
      <alignment horizontal="left" vertical="center"/>
    </xf>
    <xf numFmtId="0" fontId="80" fillId="0" borderId="39" xfId="6" applyBorder="1" applyAlignment="1">
      <alignment horizontal="left" vertical="center"/>
    </xf>
    <xf numFmtId="0" fontId="80" fillId="27" borderId="17" xfId="6" applyFill="1" applyBorder="1" applyAlignment="1">
      <alignment horizontal="center" vertical="center" wrapText="1"/>
    </xf>
    <xf numFmtId="0" fontId="11" fillId="0" borderId="17" xfId="6" applyFont="1" applyBorder="1" applyAlignment="1">
      <alignment horizontal="center" vertical="center"/>
    </xf>
    <xf numFmtId="0" fontId="11" fillId="0" borderId="0" xfId="6" applyFont="1" applyBorder="1" applyAlignment="1">
      <alignment horizontal="left" vertical="top" wrapText="1"/>
    </xf>
    <xf numFmtId="0" fontId="84" fillId="0" borderId="24" xfId="6" applyFont="1" applyBorder="1" applyAlignment="1">
      <alignment horizontal="center" vertical="center"/>
    </xf>
    <xf numFmtId="0" fontId="84" fillId="0" borderId="21" xfId="6" applyFont="1" applyBorder="1" applyAlignment="1">
      <alignment horizontal="center" vertical="center"/>
    </xf>
    <xf numFmtId="0" fontId="84" fillId="0" borderId="18" xfId="6" applyFont="1" applyBorder="1" applyAlignment="1">
      <alignment horizontal="center" vertical="center"/>
    </xf>
    <xf numFmtId="0" fontId="80" fillId="2" borderId="21" xfId="6" applyFill="1" applyBorder="1" applyAlignment="1">
      <alignment horizontal="left" vertical="top" wrapText="1"/>
    </xf>
    <xf numFmtId="0" fontId="80" fillId="2" borderId="77" xfId="6" applyFill="1" applyBorder="1" applyAlignment="1">
      <alignment horizontal="left" vertical="top" wrapText="1"/>
    </xf>
    <xf numFmtId="0" fontId="80" fillId="0" borderId="76" xfId="6" applyBorder="1" applyAlignment="1">
      <alignment horizontal="left" vertical="top" wrapText="1"/>
    </xf>
    <xf numFmtId="0" fontId="80" fillId="0" borderId="21" xfId="6" applyBorder="1" applyAlignment="1">
      <alignment horizontal="left" vertical="top" wrapText="1"/>
    </xf>
    <xf numFmtId="0" fontId="80" fillId="0" borderId="77" xfId="6" applyBorder="1" applyAlignment="1">
      <alignment horizontal="left" vertical="top" wrapText="1"/>
    </xf>
    <xf numFmtId="0" fontId="80" fillId="0" borderId="49" xfId="6" applyBorder="1" applyAlignment="1">
      <alignment horizontal="left" vertical="top" wrapText="1"/>
    </xf>
    <xf numFmtId="0" fontId="80" fillId="2" borderId="49" xfId="6" applyFill="1" applyBorder="1" applyAlignment="1">
      <alignment horizontal="left" vertical="top" wrapText="1"/>
    </xf>
    <xf numFmtId="0" fontId="80" fillId="2" borderId="43" xfId="6" applyFill="1" applyBorder="1" applyAlignment="1">
      <alignment horizontal="left" vertical="top" wrapText="1"/>
    </xf>
    <xf numFmtId="0" fontId="80" fillId="2" borderId="53" xfId="6" applyFill="1" applyBorder="1" applyAlignment="1">
      <alignment horizontal="left" vertical="top" wrapText="1"/>
    </xf>
    <xf numFmtId="0" fontId="80" fillId="0" borderId="45" xfId="6" applyBorder="1" applyAlignment="1">
      <alignment vertical="top" wrapText="1"/>
    </xf>
    <xf numFmtId="0" fontId="80" fillId="0" borderId="39" xfId="6" applyBorder="1" applyAlignment="1">
      <alignment vertical="top" wrapText="1"/>
    </xf>
    <xf numFmtId="0" fontId="80" fillId="0" borderId="40" xfId="6" applyBorder="1" applyAlignment="1">
      <alignment vertical="top" wrapText="1"/>
    </xf>
    <xf numFmtId="0" fontId="80" fillId="17" borderId="56" xfId="6" applyFill="1" applyBorder="1" applyAlignment="1" applyProtection="1">
      <alignment horizontal="center" vertical="top" wrapText="1"/>
      <protection hidden="1"/>
    </xf>
    <xf numFmtId="0" fontId="80" fillId="17" borderId="46" xfId="6" applyFill="1" applyBorder="1" applyAlignment="1" applyProtection="1">
      <alignment horizontal="center" vertical="top" wrapText="1"/>
      <protection hidden="1"/>
    </xf>
    <xf numFmtId="0" fontId="82" fillId="24" borderId="39" xfId="6" applyFont="1" applyFill="1" applyBorder="1" applyAlignment="1">
      <alignment horizontal="left" vertical="top"/>
    </xf>
    <xf numFmtId="0" fontId="80" fillId="2" borderId="45" xfId="6" applyFill="1" applyBorder="1" applyAlignment="1" applyProtection="1">
      <alignment horizontal="left" vertical="top" wrapText="1"/>
      <protection locked="0"/>
    </xf>
    <xf numFmtId="0" fontId="80" fillId="2" borderId="39" xfId="6" applyFill="1" applyBorder="1" applyAlignment="1" applyProtection="1">
      <alignment horizontal="left" vertical="top" wrapText="1"/>
      <protection locked="0"/>
    </xf>
    <xf numFmtId="0" fontId="80" fillId="2" borderId="40" xfId="6" applyFill="1" applyBorder="1" applyAlignment="1" applyProtection="1">
      <alignment horizontal="left" vertical="top" wrapText="1"/>
      <protection locked="0"/>
    </xf>
    <xf numFmtId="0" fontId="80" fillId="27" borderId="45" xfId="6" applyFill="1" applyBorder="1" applyAlignment="1" applyProtection="1">
      <alignment horizontal="center" vertical="center"/>
      <protection hidden="1"/>
    </xf>
    <xf numFmtId="0" fontId="11" fillId="0" borderId="39" xfId="6" applyFont="1" applyBorder="1" applyAlignment="1" applyProtection="1">
      <alignment vertical="center"/>
      <protection hidden="1"/>
    </xf>
    <xf numFmtId="0" fontId="11" fillId="0" borderId="40" xfId="6" applyFont="1" applyBorder="1" applyAlignment="1" applyProtection="1">
      <alignment vertical="center"/>
      <protection hidden="1"/>
    </xf>
    <xf numFmtId="0" fontId="80" fillId="27" borderId="39" xfId="6" applyFill="1" applyBorder="1" applyAlignment="1" applyProtection="1">
      <alignment horizontal="center" vertical="center"/>
      <protection hidden="1"/>
    </xf>
    <xf numFmtId="0" fontId="80" fillId="27" borderId="40" xfId="6" applyFill="1" applyBorder="1" applyAlignment="1" applyProtection="1">
      <alignment horizontal="center" vertical="center"/>
      <protection hidden="1"/>
    </xf>
    <xf numFmtId="0" fontId="80" fillId="24" borderId="45" xfId="6" quotePrefix="1" applyFill="1" applyBorder="1" applyAlignment="1" applyProtection="1">
      <alignment horizontal="center" vertical="top"/>
      <protection hidden="1"/>
    </xf>
    <xf numFmtId="0" fontId="11" fillId="0" borderId="39" xfId="6" applyFont="1" applyBorder="1" applyAlignment="1" applyProtection="1">
      <alignment vertical="top"/>
      <protection hidden="1"/>
    </xf>
    <xf numFmtId="0" fontId="11" fillId="0" borderId="40" xfId="6" applyFont="1" applyBorder="1" applyAlignment="1" applyProtection="1">
      <alignment vertical="top"/>
      <protection hidden="1"/>
    </xf>
    <xf numFmtId="0" fontId="80" fillId="24" borderId="45" xfId="6" quotePrefix="1" applyFill="1" applyBorder="1" applyAlignment="1" applyProtection="1">
      <alignment horizontal="center" vertical="top" wrapText="1"/>
      <protection hidden="1"/>
    </xf>
    <xf numFmtId="0" fontId="80" fillId="24" borderId="39" xfId="6" quotePrefix="1" applyFill="1" applyBorder="1" applyAlignment="1" applyProtection="1">
      <alignment horizontal="center" vertical="top" wrapText="1"/>
      <protection hidden="1"/>
    </xf>
    <xf numFmtId="0" fontId="80" fillId="24" borderId="40" xfId="6" quotePrefix="1" applyFill="1" applyBorder="1" applyAlignment="1" applyProtection="1">
      <alignment horizontal="center" vertical="top" wrapText="1"/>
      <protection hidden="1"/>
    </xf>
    <xf numFmtId="0" fontId="80" fillId="24" borderId="49" xfId="6" quotePrefix="1" applyFill="1" applyBorder="1" applyAlignment="1" applyProtection="1">
      <alignment horizontal="center" vertical="top" wrapText="1"/>
      <protection hidden="1"/>
    </xf>
    <xf numFmtId="0" fontId="11" fillId="0" borderId="43" xfId="6" applyFont="1" applyBorder="1" applyAlignment="1" applyProtection="1">
      <alignment vertical="top"/>
      <protection hidden="1"/>
    </xf>
    <xf numFmtId="0" fontId="82" fillId="24" borderId="45" xfId="6" applyFont="1" applyFill="1" applyBorder="1" applyAlignment="1" applyProtection="1">
      <alignment horizontal="left" vertical="top"/>
      <protection hidden="1"/>
    </xf>
    <xf numFmtId="0" fontId="82" fillId="24" borderId="39" xfId="6" applyFont="1" applyFill="1" applyBorder="1" applyAlignment="1" applyProtection="1">
      <alignment horizontal="left" vertical="top"/>
      <protection hidden="1"/>
    </xf>
    <xf numFmtId="0" fontId="80" fillId="0" borderId="36" xfId="6" applyBorder="1" applyAlignment="1" applyProtection="1">
      <alignment horizontal="left" vertical="top"/>
      <protection hidden="1"/>
    </xf>
    <xf numFmtId="0" fontId="80" fillId="0" borderId="34" xfId="6" applyBorder="1" applyAlignment="1" applyProtection="1">
      <alignment horizontal="left" vertical="top"/>
      <protection hidden="1"/>
    </xf>
    <xf numFmtId="0" fontId="82" fillId="0" borderId="0" xfId="6" applyFont="1" applyAlignment="1" applyProtection="1">
      <alignment vertical="top"/>
      <protection hidden="1"/>
    </xf>
    <xf numFmtId="0" fontId="92" fillId="0" borderId="0" xfId="6" applyFont="1" applyAlignment="1" applyProtection="1">
      <alignment horizontal="left" vertical="top"/>
      <protection hidden="1"/>
    </xf>
    <xf numFmtId="0" fontId="82" fillId="5" borderId="17" xfId="6" applyFont="1" applyFill="1" applyBorder="1" applyAlignment="1" applyProtection="1">
      <alignment horizontal="center" vertical="top"/>
      <protection hidden="1"/>
    </xf>
    <xf numFmtId="0" fontId="86" fillId="0" borderId="0" xfId="6" applyFont="1" applyAlignment="1" applyProtection="1">
      <alignment horizontal="center"/>
      <protection hidden="1"/>
    </xf>
    <xf numFmtId="0" fontId="86" fillId="0" borderId="0" xfId="6" applyFont="1" applyProtection="1">
      <protection hidden="1"/>
    </xf>
    <xf numFmtId="0" fontId="42" fillId="0" borderId="24" xfId="3" quotePrefix="1" applyFont="1" applyBorder="1" applyAlignment="1" applyProtection="1">
      <alignment horizontal="center" vertical="center" wrapText="1"/>
      <protection hidden="1"/>
    </xf>
    <xf numFmtId="0" fontId="42" fillId="0" borderId="18" xfId="3" quotePrefix="1" applyFont="1" applyBorder="1" applyAlignment="1" applyProtection="1">
      <alignment horizontal="center" vertical="center" wrapText="1"/>
      <protection hidden="1"/>
    </xf>
    <xf numFmtId="0" fontId="51" fillId="0" borderId="17" xfId="3" applyFont="1" applyBorder="1" applyAlignment="1" applyProtection="1">
      <alignment horizontal="left" vertical="center" wrapText="1"/>
      <protection hidden="1"/>
    </xf>
    <xf numFmtId="0" fontId="43" fillId="11" borderId="17" xfId="3" applyFont="1" applyFill="1" applyBorder="1" applyAlignment="1" applyProtection="1">
      <alignment horizontal="center" vertical="center"/>
      <protection hidden="1"/>
    </xf>
    <xf numFmtId="0" fontId="11" fillId="0" borderId="17" xfId="6" applyFont="1" applyBorder="1" applyAlignment="1">
      <alignment horizontal="left" vertical="top" wrapText="1"/>
    </xf>
    <xf numFmtId="0" fontId="11" fillId="0" borderId="21" xfId="6" applyFont="1" applyBorder="1" applyAlignment="1">
      <alignment horizontal="left" vertical="top" wrapText="1"/>
    </xf>
    <xf numFmtId="0" fontId="11" fillId="0" borderId="18" xfId="6" applyFont="1" applyBorder="1" applyAlignment="1">
      <alignment horizontal="left" vertical="top" wrapText="1"/>
    </xf>
    <xf numFmtId="0" fontId="80" fillId="24" borderId="17" xfId="6" quotePrefix="1" applyFill="1" applyBorder="1" applyAlignment="1">
      <alignment horizontal="center" vertical="top"/>
    </xf>
    <xf numFmtId="0" fontId="11" fillId="0" borderId="17" xfId="6" applyFont="1" applyBorder="1" applyAlignment="1">
      <alignment vertical="top"/>
    </xf>
    <xf numFmtId="0" fontId="11" fillId="26" borderId="17" xfId="6" applyFont="1" applyFill="1" applyBorder="1" applyAlignment="1">
      <alignment horizontal="center" vertical="center"/>
    </xf>
    <xf numFmtId="0" fontId="84" fillId="0" borderId="0" xfId="6" applyFont="1" applyAlignment="1">
      <alignment horizontal="center" vertical="top"/>
    </xf>
    <xf numFmtId="0" fontId="80" fillId="0" borderId="49" xfId="6" applyBorder="1" applyAlignment="1">
      <alignment horizontal="left" vertical="top"/>
    </xf>
    <xf numFmtId="0" fontId="80" fillId="0" borderId="43" xfId="6" applyBorder="1" applyAlignment="1">
      <alignment horizontal="left" vertical="top"/>
    </xf>
    <xf numFmtId="0" fontId="82" fillId="24" borderId="52" xfId="6" applyFont="1" applyFill="1" applyBorder="1" applyAlignment="1">
      <alignment horizontal="left" vertical="top"/>
    </xf>
    <xf numFmtId="0" fontId="11" fillId="0" borderId="59" xfId="6" applyFont="1" applyBorder="1" applyAlignment="1">
      <alignment vertical="top"/>
    </xf>
    <xf numFmtId="0" fontId="11" fillId="26" borderId="17" xfId="6" applyFont="1" applyFill="1" applyBorder="1" applyAlignment="1">
      <alignment horizontal="center" vertical="center" wrapText="1"/>
    </xf>
    <xf numFmtId="0" fontId="11" fillId="0" borderId="0" xfId="6" applyFont="1" applyBorder="1" applyAlignment="1">
      <alignment vertical="top"/>
    </xf>
    <xf numFmtId="0" fontId="11" fillId="0" borderId="26" xfId="6" applyFont="1" applyBorder="1" applyAlignment="1">
      <alignment vertical="top"/>
    </xf>
    <xf numFmtId="0" fontId="82" fillId="24" borderId="17" xfId="6" applyFont="1" applyFill="1" applyBorder="1" applyAlignment="1">
      <alignment horizontal="left" vertical="center"/>
    </xf>
    <xf numFmtId="0" fontId="11" fillId="0" borderId="17" xfId="6" applyFont="1" applyBorder="1" applyAlignment="1">
      <alignment horizontal="left" vertical="center"/>
    </xf>
    <xf numFmtId="0" fontId="11" fillId="0" borderId="9" xfId="6" applyFont="1" applyBorder="1" applyAlignment="1">
      <alignment horizontal="center" vertical="top" wrapText="1"/>
    </xf>
    <xf numFmtId="0" fontId="11" fillId="0" borderId="10" xfId="6" applyFont="1" applyBorder="1" applyAlignment="1">
      <alignment horizontal="center" vertical="top" wrapText="1"/>
    </xf>
    <xf numFmtId="0" fontId="11" fillId="0" borderId="12" xfId="6" applyFont="1" applyBorder="1" applyAlignment="1">
      <alignment horizontal="center" vertical="top" wrapText="1"/>
    </xf>
    <xf numFmtId="0" fontId="11" fillId="0" borderId="78" xfId="6" applyFont="1" applyBorder="1" applyAlignment="1">
      <alignment horizontal="left" vertical="top" wrapText="1"/>
    </xf>
    <xf numFmtId="0" fontId="80" fillId="0" borderId="24" xfId="6" applyBorder="1" applyAlignment="1">
      <alignment horizontal="center" vertical="top" wrapText="1"/>
    </xf>
    <xf numFmtId="0" fontId="80" fillId="0" borderId="18" xfId="6" applyBorder="1" applyAlignment="1">
      <alignment horizontal="center" vertical="top" wrapText="1"/>
    </xf>
    <xf numFmtId="0" fontId="80" fillId="0" borderId="24" xfId="6" applyBorder="1" applyAlignment="1">
      <alignment horizontal="center" vertical="top"/>
    </xf>
    <xf numFmtId="0" fontId="80" fillId="0" borderId="18" xfId="6" applyBorder="1" applyAlignment="1">
      <alignment horizontal="center" vertical="top"/>
    </xf>
    <xf numFmtId="1" fontId="11" fillId="0" borderId="57" xfId="6" applyNumberFormat="1" applyFont="1" applyBorder="1" applyAlignment="1">
      <alignment horizontal="center" vertical="top"/>
    </xf>
    <xf numFmtId="1" fontId="11" fillId="0" borderId="58" xfId="6" applyNumberFormat="1" applyFont="1" applyBorder="1" applyAlignment="1">
      <alignment horizontal="center" vertical="top"/>
    </xf>
    <xf numFmtId="0" fontId="11" fillId="0" borderId="17" xfId="6" applyFont="1" applyBorder="1" applyAlignment="1">
      <alignment horizontal="center" vertical="top"/>
    </xf>
    <xf numFmtId="1" fontId="11" fillId="0" borderId="24" xfId="6" applyNumberFormat="1" applyFont="1" applyBorder="1" applyAlignment="1">
      <alignment horizontal="center" vertical="top"/>
    </xf>
    <xf numFmtId="1" fontId="11" fillId="0" borderId="18" xfId="6" applyNumberFormat="1" applyFont="1" applyBorder="1" applyAlignment="1">
      <alignment horizontal="center" vertical="top"/>
    </xf>
    <xf numFmtId="0" fontId="11" fillId="0" borderId="20" xfId="6" applyFont="1" applyBorder="1" applyAlignment="1">
      <alignment horizontal="center" vertical="top"/>
    </xf>
    <xf numFmtId="0" fontId="11" fillId="0" borderId="22" xfId="6" applyFont="1" applyBorder="1" applyAlignment="1">
      <alignment horizontal="center" vertical="top"/>
    </xf>
    <xf numFmtId="0" fontId="11" fillId="0" borderId="25" xfId="6" applyFont="1" applyBorder="1" applyAlignment="1">
      <alignment horizontal="center" vertical="top"/>
    </xf>
    <xf numFmtId="0" fontId="11" fillId="0" borderId="26" xfId="6" applyFont="1" applyBorder="1" applyAlignment="1">
      <alignment horizontal="center" vertical="top"/>
    </xf>
    <xf numFmtId="0" fontId="11" fillId="0" borderId="9" xfId="6" applyFont="1" applyBorder="1" applyAlignment="1">
      <alignment horizontal="center" vertical="top"/>
    </xf>
    <xf numFmtId="0" fontId="11" fillId="0" borderId="12" xfId="6" applyFont="1" applyBorder="1" applyAlignment="1">
      <alignment horizontal="center" vertical="top"/>
    </xf>
    <xf numFmtId="1" fontId="80" fillId="0" borderId="19" xfId="6" applyNumberFormat="1" applyBorder="1" applyAlignment="1">
      <alignment horizontal="center" vertical="top"/>
    </xf>
    <xf numFmtId="1" fontId="80" fillId="0" borderId="23" xfId="6" applyNumberFormat="1" applyBorder="1" applyAlignment="1">
      <alignment horizontal="center" vertical="top"/>
    </xf>
    <xf numFmtId="1" fontId="80" fillId="0" borderId="11" xfId="6" applyNumberFormat="1" applyBorder="1" applyAlignment="1">
      <alignment horizontal="center" vertical="top"/>
    </xf>
    <xf numFmtId="2" fontId="80" fillId="0" borderId="19" xfId="6" applyNumberFormat="1" applyBorder="1" applyAlignment="1">
      <alignment horizontal="center" vertical="top"/>
    </xf>
    <xf numFmtId="2" fontId="80" fillId="0" borderId="23" xfId="6" applyNumberFormat="1" applyBorder="1" applyAlignment="1">
      <alignment horizontal="center" vertical="top"/>
    </xf>
    <xf numFmtId="2" fontId="80" fillId="0" borderId="11" xfId="6" applyNumberFormat="1" applyBorder="1" applyAlignment="1">
      <alignment horizontal="center" vertical="top"/>
    </xf>
    <xf numFmtId="0" fontId="80" fillId="0" borderId="24" xfId="6" applyBorder="1" applyAlignment="1">
      <alignment horizontal="left" vertical="top" wrapText="1"/>
    </xf>
    <xf numFmtId="0" fontId="80" fillId="0" borderId="21" xfId="6" applyBorder="1" applyAlignment="1">
      <alignment horizontal="left" vertical="top"/>
    </xf>
    <xf numFmtId="0" fontId="80" fillId="0" borderId="18" xfId="6" applyBorder="1" applyAlignment="1">
      <alignment horizontal="left" vertical="top"/>
    </xf>
    <xf numFmtId="0" fontId="80" fillId="0" borderId="17" xfId="6" applyBorder="1" applyAlignment="1">
      <alignment horizontal="left" vertical="top"/>
    </xf>
    <xf numFmtId="2" fontId="80" fillId="0" borderId="17" xfId="6" applyNumberFormat="1" applyBorder="1" applyAlignment="1">
      <alignment horizontal="center" vertical="top"/>
    </xf>
    <xf numFmtId="0" fontId="80" fillId="0" borderId="17" xfId="6" applyBorder="1" applyAlignment="1">
      <alignment horizontal="center" vertical="top"/>
    </xf>
    <xf numFmtId="0" fontId="80" fillId="0" borderId="17" xfId="6" applyBorder="1" applyAlignment="1">
      <alignment horizontal="left" vertical="center"/>
    </xf>
    <xf numFmtId="2" fontId="80" fillId="0" borderId="17" xfId="6" applyNumberFormat="1" applyBorder="1" applyAlignment="1">
      <alignment horizontal="center" vertical="center"/>
    </xf>
    <xf numFmtId="0" fontId="82" fillId="24" borderId="56" xfId="6" applyFont="1" applyFill="1" applyBorder="1" applyAlignment="1">
      <alignment horizontal="left" vertical="top"/>
    </xf>
    <xf numFmtId="0" fontId="11" fillId="26" borderId="19" xfId="6" applyFont="1" applyFill="1" applyBorder="1" applyAlignment="1">
      <alignment horizontal="center" vertical="center" wrapText="1"/>
    </xf>
    <xf numFmtId="0" fontId="11" fillId="26" borderId="11" xfId="6" applyFont="1" applyFill="1" applyBorder="1" applyAlignment="1">
      <alignment horizontal="center" vertical="center" wrapText="1"/>
    </xf>
    <xf numFmtId="0" fontId="11" fillId="26" borderId="25" xfId="6" applyFont="1" applyFill="1" applyBorder="1" applyAlignment="1">
      <alignment horizontal="center" vertical="center" wrapText="1"/>
    </xf>
    <xf numFmtId="0" fontId="11" fillId="26" borderId="26" xfId="6" applyFont="1" applyFill="1" applyBorder="1" applyAlignment="1">
      <alignment horizontal="center" vertical="center" wrapText="1"/>
    </xf>
    <xf numFmtId="0" fontId="11" fillId="26" borderId="9" xfId="6" applyFont="1" applyFill="1" applyBorder="1" applyAlignment="1">
      <alignment horizontal="center" vertical="center" wrapText="1"/>
    </xf>
    <xf numFmtId="0" fontId="11" fillId="26" borderId="12" xfId="6" applyFont="1" applyFill="1" applyBorder="1" applyAlignment="1">
      <alignment horizontal="center" vertical="center" wrapText="1"/>
    </xf>
    <xf numFmtId="0" fontId="11" fillId="26" borderId="20" xfId="6" applyFont="1" applyFill="1" applyBorder="1" applyAlignment="1">
      <alignment horizontal="center" vertical="center" wrapText="1"/>
    </xf>
    <xf numFmtId="0" fontId="11" fillId="26" borderId="22" xfId="6" applyFont="1" applyFill="1" applyBorder="1" applyAlignment="1">
      <alignment horizontal="center" vertical="center" wrapText="1"/>
    </xf>
    <xf numFmtId="0" fontId="11" fillId="26" borderId="24" xfId="6" applyFont="1" applyFill="1" applyBorder="1" applyAlignment="1">
      <alignment horizontal="center" vertical="center" wrapText="1"/>
    </xf>
    <xf numFmtId="0" fontId="11" fillId="26" borderId="21" xfId="6" applyFont="1" applyFill="1" applyBorder="1" applyAlignment="1">
      <alignment horizontal="center" vertical="center" wrapText="1"/>
    </xf>
    <xf numFmtId="0" fontId="11" fillId="26" borderId="18" xfId="6" applyFont="1" applyFill="1" applyBorder="1" applyAlignment="1">
      <alignment horizontal="center" vertical="center" wrapText="1"/>
    </xf>
    <xf numFmtId="0" fontId="80" fillId="27" borderId="19" xfId="6" applyFill="1" applyBorder="1" applyAlignment="1">
      <alignment horizontal="center" vertical="center" wrapText="1"/>
    </xf>
    <xf numFmtId="0" fontId="80" fillId="27" borderId="11" xfId="6" applyFill="1" applyBorder="1" applyAlignment="1">
      <alignment horizontal="center" vertical="center" wrapText="1"/>
    </xf>
    <xf numFmtId="0" fontId="80" fillId="27" borderId="20" xfId="6" applyFill="1" applyBorder="1" applyAlignment="1">
      <alignment horizontal="center" vertical="center" wrapText="1"/>
    </xf>
    <xf numFmtId="0" fontId="80" fillId="27" borderId="22" xfId="6" applyFill="1" applyBorder="1" applyAlignment="1">
      <alignment horizontal="center" vertical="center" wrapText="1"/>
    </xf>
    <xf numFmtId="0" fontId="80" fillId="27" borderId="9" xfId="6" applyFill="1" applyBorder="1" applyAlignment="1">
      <alignment horizontal="center" vertical="center" wrapText="1"/>
    </xf>
    <xf numFmtId="0" fontId="80" fillId="27" borderId="12" xfId="6" applyFill="1" applyBorder="1" applyAlignment="1">
      <alignment horizontal="center" vertical="center" wrapText="1"/>
    </xf>
    <xf numFmtId="0" fontId="11" fillId="26" borderId="27" xfId="6" applyFont="1" applyFill="1" applyBorder="1" applyAlignment="1">
      <alignment horizontal="center" vertical="center" wrapText="1"/>
    </xf>
    <xf numFmtId="0" fontId="11" fillId="26" borderId="10" xfId="6" applyFont="1" applyFill="1" applyBorder="1" applyAlignment="1">
      <alignment horizontal="center" vertical="center" wrapText="1"/>
    </xf>
    <xf numFmtId="0" fontId="11" fillId="23" borderId="17" xfId="6" quotePrefix="1" applyFont="1" applyFill="1" applyBorder="1" applyAlignment="1">
      <alignment horizontal="center" vertical="top"/>
    </xf>
    <xf numFmtId="0" fontId="11" fillId="23" borderId="17" xfId="6" applyFont="1" applyFill="1" applyBorder="1" applyAlignment="1">
      <alignment horizontal="center" vertical="top"/>
    </xf>
    <xf numFmtId="1" fontId="11" fillId="0" borderId="17" xfId="6" applyNumberFormat="1" applyFont="1" applyBorder="1" applyAlignment="1">
      <alignment horizontal="center" vertical="top"/>
    </xf>
    <xf numFmtId="0" fontId="11" fillId="0" borderId="17" xfId="6" applyFont="1" applyBorder="1" applyAlignment="1" applyProtection="1">
      <alignment horizontal="center" vertical="center"/>
      <protection locked="0"/>
    </xf>
    <xf numFmtId="0" fontId="80" fillId="0" borderId="17" xfId="6" applyBorder="1" applyAlignment="1" applyProtection="1">
      <alignment horizontal="left" vertical="top" wrapText="1"/>
      <protection hidden="1"/>
    </xf>
    <xf numFmtId="0" fontId="82" fillId="0" borderId="24" xfId="6" applyFont="1" applyBorder="1" applyAlignment="1" applyProtection="1">
      <alignment horizontal="center" vertical="center"/>
      <protection hidden="1"/>
    </xf>
    <xf numFmtId="0" fontId="82" fillId="0" borderId="21" xfId="6" applyFont="1" applyBorder="1" applyAlignment="1" applyProtection="1">
      <alignment horizontal="center" vertical="center"/>
      <protection hidden="1"/>
    </xf>
    <xf numFmtId="0" fontId="82" fillId="0" borderId="18" xfId="6" applyFont="1" applyBorder="1" applyAlignment="1" applyProtection="1">
      <alignment horizontal="center" vertical="center"/>
      <protection hidden="1"/>
    </xf>
    <xf numFmtId="0" fontId="85" fillId="0" borderId="17" xfId="6" applyFont="1" applyBorder="1" applyAlignment="1" applyProtection="1">
      <alignment horizontal="center" vertical="center"/>
      <protection hidden="1"/>
    </xf>
    <xf numFmtId="0" fontId="4" fillId="26" borderId="24" xfId="0" applyFont="1" applyFill="1" applyBorder="1" applyAlignment="1" applyProtection="1">
      <alignment horizontal="center" vertical="center"/>
      <protection hidden="1"/>
    </xf>
    <xf numFmtId="0" fontId="4" fillId="26" borderId="18" xfId="0" applyFont="1" applyFill="1" applyBorder="1" applyAlignment="1" applyProtection="1">
      <alignment horizontal="center" vertical="center"/>
      <protection hidden="1"/>
    </xf>
    <xf numFmtId="0" fontId="80" fillId="27" borderId="17" xfId="6" applyFill="1" applyBorder="1" applyAlignment="1" applyProtection="1">
      <alignment horizontal="center" vertical="center"/>
      <protection hidden="1"/>
    </xf>
    <xf numFmtId="0" fontId="80" fillId="24" borderId="17" xfId="6" quotePrefix="1" applyFill="1" applyBorder="1" applyAlignment="1" applyProtection="1">
      <alignment horizontal="center" vertical="top"/>
      <protection hidden="1"/>
    </xf>
    <xf numFmtId="0" fontId="11" fillId="23" borderId="17" xfId="6" quotePrefix="1" applyFont="1" applyFill="1" applyBorder="1" applyAlignment="1" applyProtection="1">
      <alignment horizontal="center" vertical="center"/>
      <protection hidden="1"/>
    </xf>
    <xf numFmtId="0" fontId="11" fillId="23" borderId="17" xfId="6" applyFont="1" applyFill="1" applyBorder="1" applyAlignment="1" applyProtection="1">
      <alignment horizontal="center" vertical="center"/>
      <protection hidden="1"/>
    </xf>
    <xf numFmtId="0" fontId="89" fillId="0" borderId="17" xfId="8" applyFont="1" applyBorder="1" applyAlignment="1" applyProtection="1">
      <alignment horizontal="left" vertical="center"/>
      <protection hidden="1"/>
    </xf>
    <xf numFmtId="0" fontId="80" fillId="0" borderId="17" xfId="6" applyBorder="1" applyAlignment="1" applyProtection="1">
      <alignment horizontal="left" vertical="center"/>
      <protection hidden="1"/>
    </xf>
    <xf numFmtId="0" fontId="80" fillId="0" borderId="24" xfId="6" applyBorder="1" applyAlignment="1" applyProtection="1">
      <alignment horizontal="left" vertical="center"/>
      <protection hidden="1"/>
    </xf>
    <xf numFmtId="0" fontId="80" fillId="0" borderId="24" xfId="6" applyBorder="1" applyAlignment="1" applyProtection="1">
      <alignment horizontal="center" vertical="top" wrapText="1"/>
      <protection hidden="1"/>
    </xf>
    <xf numFmtId="0" fontId="80" fillId="0" borderId="21" xfId="6" applyBorder="1" applyAlignment="1" applyProtection="1">
      <alignment horizontal="center" vertical="top"/>
      <protection hidden="1"/>
    </xf>
    <xf numFmtId="0" fontId="80" fillId="0" borderId="18" xfId="6" applyBorder="1" applyAlignment="1" applyProtection="1">
      <alignment horizontal="center" vertical="top"/>
      <protection hidden="1"/>
    </xf>
    <xf numFmtId="1" fontId="11" fillId="0" borderId="17" xfId="6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7" fillId="0" borderId="17" xfId="0" applyFont="1" applyBorder="1" applyAlignment="1" applyProtection="1">
      <alignment horizontal="center"/>
      <protection hidden="1"/>
    </xf>
    <xf numFmtId="0" fontId="17" fillId="0" borderId="24" xfId="0" applyFont="1" applyBorder="1" applyAlignment="1" applyProtection="1">
      <alignment horizontal="center"/>
      <protection hidden="1"/>
    </xf>
    <xf numFmtId="0" fontId="19" fillId="0" borderId="17" xfId="0" applyFont="1" applyBorder="1" applyAlignment="1" applyProtection="1">
      <alignment horizontal="left" shrinkToFit="1"/>
      <protection hidden="1"/>
    </xf>
    <xf numFmtId="0" fontId="19" fillId="0" borderId="24" xfId="0" applyFont="1" applyBorder="1" applyAlignment="1" applyProtection="1">
      <alignment horizontal="left" shrinkToFit="1"/>
      <protection hidden="1"/>
    </xf>
    <xf numFmtId="0" fontId="19" fillId="0" borderId="21" xfId="0" applyFont="1" applyBorder="1" applyAlignment="1" applyProtection="1">
      <alignment horizontal="left" shrinkToFit="1"/>
      <protection hidden="1"/>
    </xf>
    <xf numFmtId="0" fontId="19" fillId="0" borderId="18" xfId="0" applyFont="1" applyBorder="1" applyAlignment="1" applyProtection="1">
      <alignment horizontal="left" shrinkToFit="1"/>
      <protection hidden="1"/>
    </xf>
    <xf numFmtId="0" fontId="19" fillId="0" borderId="17" xfId="0" applyFont="1" applyFill="1" applyBorder="1" applyAlignment="1" applyProtection="1">
      <alignment horizontal="left" vertical="center"/>
      <protection hidden="1"/>
    </xf>
    <xf numFmtId="166" fontId="17" fillId="0" borderId="17" xfId="0" applyNumberFormat="1" applyFont="1" applyFill="1" applyBorder="1" applyAlignment="1" applyProtection="1">
      <alignment horizontal="center" vertical="center"/>
      <protection hidden="1"/>
    </xf>
    <xf numFmtId="0" fontId="17" fillId="2" borderId="24" xfId="0" applyFont="1" applyFill="1" applyBorder="1" applyAlignment="1" applyProtection="1">
      <alignment horizontal="center" vertical="center"/>
      <protection hidden="1"/>
    </xf>
    <xf numFmtId="0" fontId="17" fillId="2" borderId="21" xfId="0" applyFont="1" applyFill="1" applyBorder="1" applyAlignment="1" applyProtection="1">
      <alignment horizontal="center" vertical="center"/>
      <protection hidden="1"/>
    </xf>
    <xf numFmtId="0" fontId="17" fillId="2" borderId="18" xfId="0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center" vertical="center"/>
      <protection hidden="1"/>
    </xf>
    <xf numFmtId="166" fontId="17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7" fillId="5" borderId="24" xfId="0" applyFont="1" applyFill="1" applyBorder="1" applyAlignment="1" applyProtection="1">
      <alignment horizontal="right" vertical="top" wrapText="1"/>
      <protection hidden="1"/>
    </xf>
    <xf numFmtId="0" fontId="17" fillId="5" borderId="21" xfId="0" applyFont="1" applyFill="1" applyBorder="1" applyAlignment="1" applyProtection="1">
      <alignment horizontal="right" vertical="top" wrapText="1"/>
      <protection hidden="1"/>
    </xf>
    <xf numFmtId="0" fontId="17" fillId="5" borderId="18" xfId="0" applyFont="1" applyFill="1" applyBorder="1" applyAlignment="1" applyProtection="1">
      <alignment horizontal="right" vertical="top" wrapText="1"/>
      <protection hidden="1"/>
    </xf>
    <xf numFmtId="0" fontId="17" fillId="0" borderId="24" xfId="0" applyFont="1" applyFill="1" applyBorder="1" applyAlignment="1" applyProtection="1">
      <alignment horizontal="center" vertical="center"/>
      <protection hidden="1"/>
    </xf>
    <xf numFmtId="0" fontId="17" fillId="0" borderId="21" xfId="0" applyFont="1" applyFill="1" applyBorder="1" applyAlignment="1" applyProtection="1">
      <alignment horizontal="center" vertical="center"/>
      <protection hidden="1"/>
    </xf>
    <xf numFmtId="0" fontId="17" fillId="0" borderId="18" xfId="0" applyFont="1" applyFill="1" applyBorder="1" applyAlignment="1" applyProtection="1">
      <alignment horizontal="center" vertical="center"/>
      <protection hidden="1"/>
    </xf>
    <xf numFmtId="0" fontId="80" fillId="17" borderId="38" xfId="6" applyFill="1" applyBorder="1" applyAlignment="1" applyProtection="1">
      <alignment horizontal="left" vertical="center"/>
      <protection hidden="1"/>
    </xf>
    <xf numFmtId="0" fontId="80" fillId="17" borderId="41" xfId="6" applyFill="1" applyBorder="1" applyAlignment="1" applyProtection="1">
      <alignment horizontal="left" vertical="center"/>
      <protection hidden="1"/>
    </xf>
    <xf numFmtId="0" fontId="82" fillId="17" borderId="19" xfId="6" applyFont="1" applyFill="1" applyBorder="1" applyAlignment="1" applyProtection="1">
      <alignment horizontal="center" vertical="center"/>
      <protection hidden="1"/>
    </xf>
    <xf numFmtId="0" fontId="82" fillId="17" borderId="11" xfId="6" applyFont="1" applyFill="1" applyBorder="1" applyAlignment="1" applyProtection="1">
      <alignment horizontal="center" vertical="center"/>
      <protection hidden="1"/>
    </xf>
    <xf numFmtId="0" fontId="84" fillId="0" borderId="0" xfId="6" applyFont="1" applyAlignment="1" applyProtection="1">
      <alignment horizontal="center" vertical="center"/>
      <protection hidden="1"/>
    </xf>
    <xf numFmtId="0" fontId="6" fillId="0" borderId="0" xfId="6" applyFont="1" applyAlignment="1" applyProtection="1">
      <alignment horizontal="left"/>
      <protection hidden="1"/>
    </xf>
    <xf numFmtId="0" fontId="80" fillId="0" borderId="0" xfId="6" applyAlignment="1" applyProtection="1">
      <alignment horizontal="left"/>
      <protection hidden="1"/>
    </xf>
    <xf numFmtId="0" fontId="82" fillId="17" borderId="17" xfId="6" applyFont="1" applyFill="1" applyBorder="1" applyAlignment="1" applyProtection="1">
      <alignment horizontal="center"/>
      <protection hidden="1"/>
    </xf>
    <xf numFmtId="0" fontId="82" fillId="17" borderId="17" xfId="6" applyFont="1" applyFill="1" applyBorder="1" applyAlignment="1" applyProtection="1">
      <alignment horizontal="center" vertical="center"/>
      <protection hidden="1"/>
    </xf>
    <xf numFmtId="0" fontId="80" fillId="17" borderId="54" xfId="6" applyFill="1" applyBorder="1" applyAlignment="1" applyProtection="1">
      <alignment horizontal="left" vertical="center"/>
      <protection hidden="1"/>
    </xf>
    <xf numFmtId="0" fontId="80" fillId="17" borderId="55" xfId="6" applyFill="1" applyBorder="1" applyAlignment="1" applyProtection="1">
      <alignment horizontal="left" vertical="center"/>
      <protection hidden="1"/>
    </xf>
    <xf numFmtId="0" fontId="82" fillId="17" borderId="17" xfId="6" applyFont="1" applyFill="1" applyBorder="1" applyAlignment="1" applyProtection="1">
      <alignment horizontal="center" vertical="center" wrapText="1"/>
      <protection hidden="1"/>
    </xf>
    <xf numFmtId="0" fontId="80" fillId="17" borderId="42" xfId="6" applyFill="1" applyBorder="1" applyAlignment="1" applyProtection="1">
      <alignment horizontal="left" vertical="center"/>
      <protection hidden="1"/>
    </xf>
    <xf numFmtId="0" fontId="80" fillId="17" borderId="44" xfId="6" applyFill="1" applyBorder="1" applyAlignment="1" applyProtection="1">
      <alignment horizontal="left" vertical="center"/>
      <protection hidden="1"/>
    </xf>
    <xf numFmtId="0" fontId="82" fillId="17" borderId="0" xfId="6" applyFont="1" applyFill="1" applyAlignment="1" applyProtection="1">
      <alignment horizontal="center" vertical="center"/>
      <protection hidden="1"/>
    </xf>
    <xf numFmtId="0" fontId="82" fillId="17" borderId="26" xfId="6" applyFont="1" applyFill="1" applyBorder="1" applyAlignment="1" applyProtection="1">
      <alignment horizontal="center" vertical="center"/>
      <protection hidden="1"/>
    </xf>
    <xf numFmtId="0" fontId="82" fillId="17" borderId="10" xfId="6" applyFont="1" applyFill="1" applyBorder="1" applyAlignment="1" applyProtection="1">
      <alignment horizontal="center" vertical="center"/>
      <protection hidden="1"/>
    </xf>
    <xf numFmtId="0" fontId="82" fillId="17" borderId="12" xfId="6" applyFont="1" applyFill="1" applyBorder="1" applyAlignment="1" applyProtection="1">
      <alignment horizontal="center" vertical="center"/>
      <protection hidden="1"/>
    </xf>
    <xf numFmtId="0" fontId="82" fillId="17" borderId="23" xfId="6" applyFont="1" applyFill="1" applyBorder="1" applyAlignment="1" applyProtection="1">
      <alignment horizontal="center" vertical="center" wrapText="1"/>
      <protection hidden="1"/>
    </xf>
    <xf numFmtId="0" fontId="82" fillId="17" borderId="11" xfId="6" applyFont="1" applyFill="1" applyBorder="1" applyAlignment="1" applyProtection="1">
      <alignment horizontal="center" vertical="center" wrapText="1"/>
      <protection hidden="1"/>
    </xf>
    <xf numFmtId="0" fontId="82" fillId="17" borderId="19" xfId="6" applyFont="1" applyFill="1" applyBorder="1" applyAlignment="1" applyProtection="1">
      <alignment horizontal="center" vertical="center" wrapText="1"/>
      <protection hidden="1"/>
    </xf>
    <xf numFmtId="0" fontId="80" fillId="0" borderId="19" xfId="6" applyBorder="1" applyAlignment="1" applyProtection="1">
      <alignment horizontal="left" vertical="top" wrapText="1"/>
      <protection hidden="1"/>
    </xf>
    <xf numFmtId="0" fontId="80" fillId="0" borderId="23" xfId="6" applyBorder="1" applyAlignment="1" applyProtection="1">
      <alignment horizontal="left" vertical="top" wrapText="1"/>
      <protection hidden="1"/>
    </xf>
    <xf numFmtId="0" fontId="80" fillId="0" borderId="11" xfId="6" applyBorder="1" applyAlignment="1" applyProtection="1">
      <alignment horizontal="left" vertical="top" wrapText="1"/>
      <protection hidden="1"/>
    </xf>
    <xf numFmtId="0" fontId="82" fillId="25" borderId="17" xfId="6" quotePrefix="1" applyFont="1" applyFill="1" applyBorder="1" applyAlignment="1" applyProtection="1">
      <alignment horizontal="center" vertical="center" wrapText="1"/>
      <protection hidden="1"/>
    </xf>
    <xf numFmtId="0" fontId="82" fillId="25" borderId="25" xfId="6" quotePrefix="1" applyFont="1" applyFill="1" applyBorder="1" applyAlignment="1" applyProtection="1">
      <alignment horizontal="left" vertical="center"/>
      <protection hidden="1"/>
    </xf>
    <xf numFmtId="0" fontId="82" fillId="25" borderId="0" xfId="6" quotePrefix="1" applyFont="1" applyFill="1" applyAlignment="1" applyProtection="1">
      <alignment horizontal="left" vertical="center"/>
      <protection hidden="1"/>
    </xf>
    <xf numFmtId="0" fontId="82" fillId="25" borderId="26" xfId="6" quotePrefix="1" applyFont="1" applyFill="1" applyBorder="1" applyAlignment="1" applyProtection="1">
      <alignment horizontal="left" vertical="center"/>
      <protection hidden="1"/>
    </xf>
    <xf numFmtId="0" fontId="80" fillId="0" borderId="19" xfId="6" applyBorder="1" applyAlignment="1" applyProtection="1">
      <alignment horizontal="center" vertical="center"/>
      <protection hidden="1"/>
    </xf>
    <xf numFmtId="0" fontId="80" fillId="0" borderId="23" xfId="6" applyBorder="1" applyAlignment="1" applyProtection="1">
      <alignment horizontal="center" vertical="center"/>
      <protection hidden="1"/>
    </xf>
    <xf numFmtId="0" fontId="80" fillId="0" borderId="11" xfId="6" applyBorder="1" applyAlignment="1" applyProtection="1">
      <alignment horizontal="center" vertical="center"/>
      <protection hidden="1"/>
    </xf>
    <xf numFmtId="0" fontId="11" fillId="0" borderId="20" xfId="6" quotePrefix="1" applyFont="1" applyBorder="1" applyAlignment="1" applyProtection="1">
      <alignment horizontal="left" vertical="top" wrapText="1"/>
      <protection hidden="1"/>
    </xf>
    <xf numFmtId="0" fontId="80" fillId="0" borderId="25" xfId="6" quotePrefix="1" applyBorder="1" applyAlignment="1" applyProtection="1">
      <alignment horizontal="left" vertical="top" wrapText="1"/>
      <protection hidden="1"/>
    </xf>
    <xf numFmtId="0" fontId="80" fillId="0" borderId="9" xfId="6" quotePrefix="1" applyBorder="1" applyAlignment="1" applyProtection="1">
      <alignment horizontal="left" vertical="top" wrapText="1"/>
      <protection hidden="1"/>
    </xf>
    <xf numFmtId="49" fontId="11" fillId="0" borderId="20" xfId="6" quotePrefix="1" applyNumberFormat="1" applyFont="1" applyBorder="1" applyAlignment="1" applyProtection="1">
      <alignment horizontal="left" vertical="top" wrapText="1"/>
      <protection hidden="1"/>
    </xf>
    <xf numFmtId="0" fontId="80" fillId="0" borderId="25" xfId="6" quotePrefix="1" applyNumberFormat="1" applyBorder="1" applyAlignment="1" applyProtection="1">
      <alignment horizontal="left" vertical="top" wrapText="1"/>
      <protection hidden="1"/>
    </xf>
    <xf numFmtId="0" fontId="80" fillId="0" borderId="9" xfId="6" quotePrefix="1" applyNumberFormat="1" applyBorder="1" applyAlignment="1" applyProtection="1">
      <alignment horizontal="left" vertical="top" wrapText="1"/>
      <protection hidden="1"/>
    </xf>
    <xf numFmtId="0" fontId="80" fillId="0" borderId="25" xfId="6" applyBorder="1" applyAlignment="1" applyProtection="1">
      <alignment horizontal="center" vertical="center"/>
      <protection hidden="1"/>
    </xf>
    <xf numFmtId="0" fontId="11" fillId="0" borderId="23" xfId="6" quotePrefix="1" applyFont="1" applyBorder="1" applyAlignment="1" applyProtection="1">
      <alignment horizontal="left" vertical="top" wrapText="1"/>
      <protection hidden="1"/>
    </xf>
    <xf numFmtId="49" fontId="11" fillId="0" borderId="23" xfId="6" applyNumberFormat="1" applyFont="1" applyBorder="1" applyAlignment="1" applyProtection="1">
      <alignment horizontal="left" vertical="top" wrapText="1"/>
      <protection hidden="1"/>
    </xf>
    <xf numFmtId="0" fontId="11" fillId="0" borderId="23" xfId="6" applyFont="1" applyBorder="1" applyAlignment="1" applyProtection="1">
      <alignment horizontal="left" vertical="top" wrapText="1"/>
      <protection hidden="1"/>
    </xf>
    <xf numFmtId="0" fontId="11" fillId="0" borderId="11" xfId="6" applyFont="1" applyBorder="1" applyAlignment="1" applyProtection="1">
      <alignment horizontal="left" vertical="top" wrapText="1"/>
      <protection hidden="1"/>
    </xf>
    <xf numFmtId="0" fontId="11" fillId="0" borderId="19" xfId="6" applyFont="1" applyBorder="1" applyAlignment="1" applyProtection="1">
      <alignment horizontal="left" vertical="center" wrapText="1"/>
      <protection hidden="1"/>
    </xf>
    <xf numFmtId="0" fontId="11" fillId="0" borderId="23" xfId="6" applyFont="1" applyBorder="1" applyAlignment="1" applyProtection="1">
      <alignment horizontal="left" vertical="center" wrapText="1"/>
      <protection hidden="1"/>
    </xf>
    <xf numFmtId="0" fontId="11" fillId="0" borderId="11" xfId="6" applyFont="1" applyBorder="1" applyAlignment="1" applyProtection="1">
      <alignment horizontal="left" vertical="center" wrapText="1"/>
      <protection hidden="1"/>
    </xf>
    <xf numFmtId="0" fontId="82" fillId="25" borderId="17" xfId="6" applyFont="1" applyFill="1" applyBorder="1" applyAlignment="1" applyProtection="1">
      <alignment horizontal="left"/>
      <protection locked="0"/>
    </xf>
    <xf numFmtId="0" fontId="80" fillId="0" borderId="19" xfId="6" applyBorder="1" applyAlignment="1" applyProtection="1">
      <alignment horizontal="center" vertical="top"/>
      <protection hidden="1"/>
    </xf>
    <xf numFmtId="0" fontId="80" fillId="0" borderId="23" xfId="6" applyBorder="1" applyAlignment="1" applyProtection="1">
      <alignment horizontal="center" vertical="top"/>
      <protection hidden="1"/>
    </xf>
    <xf numFmtId="0" fontId="82" fillId="0" borderId="24" xfId="6" applyFont="1" applyBorder="1" applyAlignment="1" applyProtection="1">
      <alignment horizontal="center" vertical="center" wrapText="1"/>
      <protection hidden="1"/>
    </xf>
    <xf numFmtId="0" fontId="82" fillId="0" borderId="21" xfId="6" applyFont="1" applyBorder="1" applyAlignment="1" applyProtection="1">
      <alignment horizontal="center" vertical="center" wrapText="1"/>
      <protection hidden="1"/>
    </xf>
    <xf numFmtId="0" fontId="82" fillId="0" borderId="18" xfId="6" applyFont="1" applyBorder="1" applyAlignment="1" applyProtection="1">
      <alignment horizontal="center" vertical="center" wrapText="1"/>
      <protection hidden="1"/>
    </xf>
    <xf numFmtId="0" fontId="89" fillId="0" borderId="17" xfId="6" applyFont="1" applyBorder="1" applyAlignment="1">
      <alignment horizontal="center" vertical="top" wrapText="1"/>
    </xf>
    <xf numFmtId="0" fontId="95" fillId="0" borderId="0" xfId="6" applyFont="1" applyAlignment="1">
      <alignment horizontal="center" vertical="top" wrapText="1"/>
    </xf>
    <xf numFmtId="0" fontId="96" fillId="0" borderId="0" xfId="6" applyFont="1" applyAlignment="1">
      <alignment vertical="top" wrapText="1"/>
    </xf>
    <xf numFmtId="0" fontId="96" fillId="0" borderId="17" xfId="6" applyFont="1" applyBorder="1" applyAlignment="1">
      <alignment vertical="top" wrapText="1"/>
    </xf>
    <xf numFmtId="0" fontId="80" fillId="0" borderId="25" xfId="6" applyBorder="1" applyAlignment="1">
      <alignment horizontal="center"/>
    </xf>
    <xf numFmtId="0" fontId="80" fillId="0" borderId="0" xfId="6" applyAlignment="1">
      <alignment horizontal="center"/>
    </xf>
    <xf numFmtId="0" fontId="89" fillId="0" borderId="17" xfId="6" applyFont="1" applyBorder="1" applyAlignment="1">
      <alignment horizontal="left" vertical="top" wrapText="1"/>
    </xf>
    <xf numFmtId="0" fontId="80" fillId="0" borderId="20" xfId="6" applyBorder="1" applyAlignment="1">
      <alignment horizontal="center"/>
    </xf>
    <xf numFmtId="0" fontId="80" fillId="0" borderId="27" xfId="6" applyBorder="1" applyAlignment="1">
      <alignment horizontal="center"/>
    </xf>
    <xf numFmtId="0" fontId="80" fillId="0" borderId="22" xfId="6" applyBorder="1" applyAlignment="1">
      <alignment horizontal="center"/>
    </xf>
    <xf numFmtId="0" fontId="80" fillId="0" borderId="9" xfId="6" applyBorder="1" applyAlignment="1">
      <alignment horizontal="center"/>
    </xf>
    <xf numFmtId="0" fontId="80" fillId="0" borderId="10" xfId="6" applyBorder="1" applyAlignment="1">
      <alignment horizontal="center"/>
    </xf>
    <xf numFmtId="0" fontId="80" fillId="0" borderId="24" xfId="6" applyBorder="1" applyAlignment="1" applyProtection="1">
      <alignment horizontal="left" vertical="top" wrapText="1"/>
      <protection hidden="1"/>
    </xf>
    <xf numFmtId="0" fontId="80" fillId="26" borderId="24" xfId="6" applyFill="1" applyBorder="1" applyAlignment="1" applyProtection="1">
      <alignment horizontal="center" vertical="center" wrapText="1"/>
      <protection hidden="1"/>
    </xf>
    <xf numFmtId="0" fontId="80" fillId="26" borderId="21" xfId="6" applyFill="1" applyBorder="1" applyAlignment="1" applyProtection="1">
      <alignment horizontal="center" vertical="center" wrapText="1"/>
      <protection hidden="1"/>
    </xf>
    <xf numFmtId="0" fontId="80" fillId="26" borderId="18" xfId="6" applyFill="1" applyBorder="1" applyAlignment="1" applyProtection="1">
      <alignment horizontal="center" vertical="center" wrapText="1"/>
      <protection hidden="1"/>
    </xf>
    <xf numFmtId="0" fontId="80" fillId="0" borderId="24" xfId="6" applyBorder="1" applyAlignment="1" applyProtection="1">
      <alignment horizontal="center" vertical="center" wrapText="1"/>
      <protection hidden="1"/>
    </xf>
    <xf numFmtId="0" fontId="80" fillId="0" borderId="21" xfId="6" applyBorder="1" applyAlignment="1" applyProtection="1">
      <alignment horizontal="center" vertical="center" wrapText="1"/>
      <protection hidden="1"/>
    </xf>
    <xf numFmtId="0" fontId="80" fillId="0" borderId="18" xfId="6" applyBorder="1" applyAlignment="1" applyProtection="1">
      <alignment horizontal="center" vertical="center" wrapText="1"/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18" xfId="0" applyFont="1" applyFill="1" applyBorder="1" applyAlignment="1" applyProtection="1">
      <alignment horizontal="center" vertical="center"/>
      <protection hidden="1"/>
    </xf>
    <xf numFmtId="0" fontId="17" fillId="0" borderId="17" xfId="0" applyFont="1" applyBorder="1" applyAlignment="1" applyProtection="1">
      <alignment horizontal="center" vertical="center"/>
      <protection hidden="1"/>
    </xf>
    <xf numFmtId="0" fontId="17" fillId="0" borderId="24" xfId="0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left" shrinkToFit="1"/>
      <protection hidden="1"/>
    </xf>
    <xf numFmtId="0" fontId="12" fillId="0" borderId="24" xfId="0" applyFont="1" applyBorder="1" applyAlignment="1" applyProtection="1">
      <alignment horizontal="left" shrinkToFit="1"/>
      <protection hidden="1"/>
    </xf>
    <xf numFmtId="0" fontId="12" fillId="0" borderId="21" xfId="0" applyFont="1" applyBorder="1" applyAlignment="1" applyProtection="1">
      <alignment horizontal="left" shrinkToFit="1"/>
      <protection hidden="1"/>
    </xf>
    <xf numFmtId="0" fontId="12" fillId="0" borderId="18" xfId="0" applyFont="1" applyBorder="1" applyAlignment="1" applyProtection="1">
      <alignment horizontal="left" shrinkToFit="1"/>
      <protection hidden="1"/>
    </xf>
    <xf numFmtId="0" fontId="17" fillId="0" borderId="17" xfId="0" applyFont="1" applyFill="1" applyBorder="1" applyAlignment="1" applyProtection="1">
      <alignment horizontal="left" vertical="center" indent="2"/>
      <protection hidden="1"/>
    </xf>
    <xf numFmtId="2" fontId="16" fillId="0" borderId="17" xfId="0" applyNumberFormat="1" applyFont="1" applyFill="1" applyBorder="1" applyAlignment="1" applyProtection="1">
      <alignment horizontal="center" vertical="center"/>
      <protection hidden="1"/>
    </xf>
    <xf numFmtId="0" fontId="16" fillId="0" borderId="21" xfId="0" applyFont="1" applyBorder="1" applyAlignment="1" applyProtection="1">
      <alignment horizontal="center" vertical="center" shrinkToFit="1"/>
      <protection hidden="1"/>
    </xf>
    <xf numFmtId="0" fontId="16" fillId="0" borderId="18" xfId="0" applyFont="1" applyBorder="1" applyAlignment="1" applyProtection="1">
      <alignment horizontal="center" vertical="center" shrinkToFit="1"/>
      <protection hidden="1"/>
    </xf>
    <xf numFmtId="0" fontId="13" fillId="0" borderId="24" xfId="0" applyFont="1" applyBorder="1" applyAlignment="1" applyProtection="1">
      <alignment horizontal="left" vertical="center" wrapText="1" shrinkToFit="1"/>
      <protection hidden="1"/>
    </xf>
    <xf numFmtId="0" fontId="13" fillId="0" borderId="18" xfId="0" applyFont="1" applyBorder="1" applyAlignment="1" applyProtection="1">
      <alignment horizontal="left" vertical="center" wrapText="1" shrinkToFit="1"/>
      <protection hidden="1"/>
    </xf>
    <xf numFmtId="166" fontId="4" fillId="2" borderId="24" xfId="0" applyNumberFormat="1" applyFont="1" applyFill="1" applyBorder="1" applyAlignment="1" applyProtection="1">
      <alignment horizontal="center" vertical="center"/>
      <protection hidden="1"/>
    </xf>
    <xf numFmtId="166" fontId="4" fillId="2" borderId="21" xfId="0" applyNumberFormat="1" applyFont="1" applyFill="1" applyBorder="1" applyAlignment="1" applyProtection="1">
      <alignment horizontal="center" vertical="center"/>
      <protection hidden="1"/>
    </xf>
    <xf numFmtId="166" fontId="4" fillId="2" borderId="18" xfId="0" applyNumberFormat="1" applyFont="1" applyFill="1" applyBorder="1" applyAlignment="1" applyProtection="1">
      <alignment horizontal="center" vertical="center"/>
      <protection hidden="1"/>
    </xf>
    <xf numFmtId="0" fontId="19" fillId="0" borderId="21" xfId="0" applyFont="1" applyBorder="1" applyAlignment="1" applyProtection="1">
      <alignment horizontal="left" vertical="center" shrinkToFit="1"/>
      <protection hidden="1"/>
    </xf>
    <xf numFmtId="0" fontId="19" fillId="0" borderId="18" xfId="0" applyFont="1" applyBorder="1" applyAlignment="1" applyProtection="1">
      <alignment horizontal="left" vertical="center" shrinkToFit="1"/>
      <protection hidden="1"/>
    </xf>
    <xf numFmtId="0" fontId="18" fillId="2" borderId="24" xfId="0" applyFont="1" applyFill="1" applyBorder="1" applyAlignment="1" applyProtection="1">
      <alignment horizontal="center" vertical="center"/>
      <protection hidden="1"/>
    </xf>
    <xf numFmtId="0" fontId="18" fillId="2" borderId="21" xfId="0" applyFont="1" applyFill="1" applyBorder="1" applyAlignment="1" applyProtection="1">
      <alignment horizontal="center" vertical="center"/>
      <protection hidden="1"/>
    </xf>
    <xf numFmtId="0" fontId="18" fillId="2" borderId="18" xfId="0" applyFont="1" applyFill="1" applyBorder="1" applyAlignment="1" applyProtection="1">
      <alignment horizontal="center" vertical="center"/>
      <protection hidden="1"/>
    </xf>
    <xf numFmtId="0" fontId="18" fillId="2" borderId="17" xfId="0" applyFont="1" applyFill="1" applyBorder="1" applyAlignment="1" applyProtection="1">
      <alignment horizontal="center" vertical="center"/>
      <protection hidden="1"/>
    </xf>
    <xf numFmtId="0" fontId="17" fillId="5" borderId="17" xfId="0" applyFont="1" applyFill="1" applyBorder="1" applyAlignment="1" applyProtection="1">
      <alignment horizontal="center" vertical="top" wrapText="1"/>
      <protection hidden="1"/>
    </xf>
    <xf numFmtId="2" fontId="16" fillId="5" borderId="17" xfId="0" applyNumberFormat="1" applyFont="1" applyFill="1" applyBorder="1" applyAlignment="1" applyProtection="1">
      <alignment horizontal="center" vertical="center"/>
      <protection hidden="1"/>
    </xf>
    <xf numFmtId="0" fontId="17" fillId="5" borderId="17" xfId="0" applyFont="1" applyFill="1" applyBorder="1" applyAlignment="1" applyProtection="1">
      <alignment horizontal="right" vertical="top" wrapText="1"/>
      <protection hidden="1"/>
    </xf>
    <xf numFmtId="0" fontId="16" fillId="5" borderId="17" xfId="0" applyFont="1" applyFill="1" applyBorder="1" applyAlignment="1" applyProtection="1">
      <alignment horizontal="center" vertical="center"/>
      <protection hidden="1"/>
    </xf>
    <xf numFmtId="0" fontId="107" fillId="0" borderId="0" xfId="11" applyFont="1" applyAlignment="1">
      <alignment horizontal="center" vertical="top" wrapText="1"/>
    </xf>
    <xf numFmtId="49" fontId="76" fillId="11" borderId="24" xfId="3" applyNumberFormat="1" applyFont="1" applyFill="1" applyBorder="1" applyAlignment="1" applyProtection="1">
      <alignment horizontal="left" vertical="center"/>
      <protection locked="0"/>
    </xf>
    <xf numFmtId="2" fontId="12" fillId="0" borderId="0" xfId="0" quotePrefix="1" applyNumberFormat="1" applyFont="1" applyAlignment="1" applyProtection="1">
      <alignment horizontal="right" vertical="center" indent="1"/>
      <protection locked="0"/>
    </xf>
    <xf numFmtId="49" fontId="76" fillId="11" borderId="18" xfId="3" quotePrefix="1" applyNumberFormat="1" applyFont="1" applyFill="1" applyBorder="1" applyAlignment="1" applyProtection="1">
      <alignment horizontal="left" vertical="center"/>
      <protection locked="0"/>
    </xf>
    <xf numFmtId="2" fontId="80" fillId="0" borderId="24" xfId="6" applyNumberFormat="1" applyBorder="1" applyAlignment="1">
      <alignment horizontal="center" vertical="center" wrapText="1"/>
    </xf>
    <xf numFmtId="2" fontId="80" fillId="0" borderId="21" xfId="6" applyNumberFormat="1" applyBorder="1" applyAlignment="1">
      <alignment horizontal="center" vertical="center" wrapText="1"/>
    </xf>
    <xf numFmtId="2" fontId="80" fillId="0" borderId="18" xfId="6" applyNumberFormat="1" applyBorder="1" applyAlignment="1">
      <alignment horizontal="center" vertical="center" wrapText="1"/>
    </xf>
  </cellXfs>
  <cellStyles count="12">
    <cellStyle name="Comma [0]" xfId="1" builtinId="6"/>
    <cellStyle name="Comma [0] 2" xfId="4" xr:uid="{00000000-0005-0000-0000-000001000000}"/>
    <cellStyle name="Comma [0] 3" xfId="7" xr:uid="{00000000-0005-0000-0000-000002000000}"/>
    <cellStyle name="Comma 2" xfId="5" xr:uid="{00000000-0005-0000-0000-000003000000}"/>
    <cellStyle name="Hyperlink 2" xfId="11" xr:uid="{642FA6A6-4BEC-491D-ACFC-52F8E0096FA5}"/>
    <cellStyle name="Normal" xfId="0" builtinId="0"/>
    <cellStyle name="Normal 2" xfId="2" xr:uid="{00000000-0005-0000-0000-000005000000}"/>
    <cellStyle name="Normal 2 2" xfId="6" xr:uid="{00000000-0005-0000-0000-000006000000}"/>
    <cellStyle name="Normal 3" xfId="3" xr:uid="{00000000-0005-0000-0000-000007000000}"/>
    <cellStyle name="Normal 3 2" xfId="8" xr:uid="{00000000-0005-0000-0000-000008000000}"/>
    <cellStyle name="Normal 3 2 2" xfId="9" xr:uid="{00000000-0005-0000-0000-000009000000}"/>
    <cellStyle name="Normal 4" xfId="10" xr:uid="{00000000-0005-0000-0000-00000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NCANA SKP'!A1"/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indikator!A1"/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8.png"/><Relationship Id="rId1" Type="http://schemas.openxmlformats.org/officeDocument/2006/relationships/hyperlink" Target="#'KEGIATAN GURU2'!AK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1. RENCANA SKP JF'!A1"/><Relationship Id="rId2" Type="http://schemas.openxmlformats.org/officeDocument/2006/relationships/image" Target="../media/image8.png"/><Relationship Id="rId1" Type="http://schemas.openxmlformats.org/officeDocument/2006/relationships/hyperlink" Target="#'KEGIATAN GURU2'!AK"/><Relationship Id="rId6" Type="http://schemas.openxmlformats.org/officeDocument/2006/relationships/image" Target="../media/image2.png"/><Relationship Id="rId5" Type="http://schemas.openxmlformats.org/officeDocument/2006/relationships/hyperlink" Target="#MENU!A1"/><Relationship Id="rId4" Type="http://schemas.openxmlformats.org/officeDocument/2006/relationships/image" Target="../media/image1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PENGUKURAN SKP'!A1"/><Relationship Id="rId13" Type="http://schemas.openxmlformats.org/officeDocument/2006/relationships/hyperlink" Target="#'RENCANA SKP'!A1"/><Relationship Id="rId18" Type="http://schemas.openxmlformats.org/officeDocument/2006/relationships/hyperlink" Target="#'Penilaian Kinerja'!A1"/><Relationship Id="rId26" Type="http://schemas.openxmlformats.org/officeDocument/2006/relationships/hyperlink" Target="#'Laporan DPK'!A1"/><Relationship Id="rId3" Type="http://schemas.openxmlformats.org/officeDocument/2006/relationships/hyperlink" Target="#'SKP ATASAN'!A1"/><Relationship Id="rId21" Type="http://schemas.openxmlformats.org/officeDocument/2006/relationships/image" Target="../media/image5.png"/><Relationship Id="rId7" Type="http://schemas.openxmlformats.org/officeDocument/2006/relationships/hyperlink" Target="#'FORM SKP'!A1"/><Relationship Id="rId12" Type="http://schemas.openxmlformats.org/officeDocument/2006/relationships/hyperlink" Target="#'DATA SKP2'!A1"/><Relationship Id="rId17" Type="http://schemas.openxmlformats.org/officeDocument/2006/relationships/hyperlink" Target="#'Penilaian Prestasi'!A1"/><Relationship Id="rId25" Type="http://schemas.microsoft.com/office/2007/relationships/hdphoto" Target="../media/hdphoto1.wdp"/><Relationship Id="rId2" Type="http://schemas.openxmlformats.org/officeDocument/2006/relationships/hyperlink" Target="#'Konversi Nilai'!A1"/><Relationship Id="rId16" Type="http://schemas.openxmlformats.org/officeDocument/2006/relationships/hyperlink" Target="#'Integrasi Nilai'!A1"/><Relationship Id="rId20" Type="http://schemas.openxmlformats.org/officeDocument/2006/relationships/image" Target="../media/image4.png"/><Relationship Id="rId29" Type="http://schemas.openxmlformats.org/officeDocument/2006/relationships/hyperlink" Target="#'DPK 2021'!A1"/><Relationship Id="rId1" Type="http://schemas.openxmlformats.org/officeDocument/2006/relationships/hyperlink" Target="#'KETERKAITAN JF'!A1"/><Relationship Id="rId6" Type="http://schemas.openxmlformats.org/officeDocument/2006/relationships/hyperlink" Target="#'DATA SKP'!A1"/><Relationship Id="rId11" Type="http://schemas.openxmlformats.org/officeDocument/2006/relationships/hyperlink" Target="#PERIODE!A1"/><Relationship Id="rId24" Type="http://schemas.openxmlformats.org/officeDocument/2006/relationships/image" Target="../media/image7.png"/><Relationship Id="rId5" Type="http://schemas.openxmlformats.org/officeDocument/2006/relationships/hyperlink" Target="#'PENILAIAN SKP'!A1"/><Relationship Id="rId15" Type="http://schemas.openxmlformats.org/officeDocument/2006/relationships/hyperlink" Target="#'Penilaian Perilaku'!A1"/><Relationship Id="rId23" Type="http://schemas.openxmlformats.org/officeDocument/2006/relationships/hyperlink" Target="#AUTHOR!A1"/><Relationship Id="rId28" Type="http://schemas.openxmlformats.org/officeDocument/2006/relationships/image" Target="../media/image8.png"/><Relationship Id="rId10" Type="http://schemas.openxmlformats.org/officeDocument/2006/relationships/hyperlink" Target="#COVER!A1"/><Relationship Id="rId19" Type="http://schemas.openxmlformats.org/officeDocument/2006/relationships/image" Target="../media/image3.png"/><Relationship Id="rId4" Type="http://schemas.openxmlformats.org/officeDocument/2006/relationships/hyperlink" Target="#'REVIEW RENCANA SKP'!A1"/><Relationship Id="rId9" Type="http://schemas.openxmlformats.org/officeDocument/2006/relationships/hyperlink" Target="#PERILAKU!A1"/><Relationship Id="rId14" Type="http://schemas.openxmlformats.org/officeDocument/2006/relationships/hyperlink" Target="#'PENETAPAN SKP'!A1"/><Relationship Id="rId22" Type="http://schemas.openxmlformats.org/officeDocument/2006/relationships/image" Target="../media/image6.png"/><Relationship Id="rId27" Type="http://schemas.openxmlformats.org/officeDocument/2006/relationships/hyperlink" Target="#'KEGIATAN GURU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5" Type="http://schemas.openxmlformats.org/officeDocument/2006/relationships/hyperlink" Target="#MENU!A1"/><Relationship Id="rId4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4" Type="http://schemas.openxmlformats.org/officeDocument/2006/relationships/image" Target="../media/image17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8.png"/><Relationship Id="rId1" Type="http://schemas.openxmlformats.org/officeDocument/2006/relationships/hyperlink" Target="#'KEGIATAN GURU'!A1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12</xdr:col>
      <xdr:colOff>419100</xdr:colOff>
      <xdr:row>19</xdr:row>
      <xdr:rowOff>180976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"/>
          <a:ext cx="7734300" cy="38004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</xdr:row>
      <xdr:rowOff>180976</xdr:rowOff>
    </xdr:from>
    <xdr:to>
      <xdr:col>2</xdr:col>
      <xdr:colOff>464044</xdr:colOff>
      <xdr:row>18</xdr:row>
      <xdr:rowOff>0</xdr:rowOff>
    </xdr:to>
    <xdr:pic>
      <xdr:nvPicPr>
        <xdr:cNvPr id="3" name="Picture 140">
          <a:hlinkClick xmlns:r="http://schemas.openxmlformats.org/officeDocument/2006/relationships" r:id="rId2" tooltip="KE MENU UTAMA SKP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3900" y="2466976"/>
          <a:ext cx="959344" cy="96202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85725</xdr:colOff>
      <xdr:row>5</xdr:row>
      <xdr:rowOff>177727</xdr:rowOff>
    </xdr:from>
    <xdr:to>
      <xdr:col>19</xdr:col>
      <xdr:colOff>514350</xdr:colOff>
      <xdr:row>10</xdr:row>
      <xdr:rowOff>48364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72525" y="1130227"/>
          <a:ext cx="1009650" cy="100411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476250</xdr:colOff>
      <xdr:row>3</xdr:row>
      <xdr:rowOff>55200</xdr:rowOff>
    </xdr:from>
    <xdr:to>
      <xdr:col>19</xdr:col>
      <xdr:colOff>457200</xdr:colOff>
      <xdr:row>9</xdr:row>
      <xdr:rowOff>129084</xdr:rowOff>
    </xdr:to>
    <xdr:pic>
      <xdr:nvPicPr>
        <xdr:cNvPr id="3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44200" y="626700"/>
          <a:ext cx="1143000" cy="11311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257176</xdr:colOff>
      <xdr:row>8</xdr:row>
      <xdr:rowOff>64638</xdr:rowOff>
    </xdr:from>
    <xdr:to>
      <xdr:col>37</xdr:col>
      <xdr:colOff>47626</xdr:colOff>
      <xdr:row>12</xdr:row>
      <xdr:rowOff>19050</xdr:rowOff>
    </xdr:to>
    <xdr:pic>
      <xdr:nvPicPr>
        <xdr:cNvPr id="2" name="Picture 212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19826" y="702813"/>
          <a:ext cx="1123950" cy="104026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473653</xdr:colOff>
      <xdr:row>4</xdr:row>
      <xdr:rowOff>238125</xdr:rowOff>
    </xdr:from>
    <xdr:to>
      <xdr:col>10</xdr:col>
      <xdr:colOff>1749429</xdr:colOff>
      <xdr:row>9</xdr:row>
      <xdr:rowOff>24311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79253" y="1076325"/>
          <a:ext cx="1275776" cy="126256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317499</xdr:colOff>
      <xdr:row>7</xdr:row>
      <xdr:rowOff>84667</xdr:rowOff>
    </xdr:from>
    <xdr:to>
      <xdr:col>8</xdr:col>
      <xdr:colOff>139347</xdr:colOff>
      <xdr:row>9</xdr:row>
      <xdr:rowOff>326779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992555" y="1531056"/>
          <a:ext cx="1035403" cy="100411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5</xdr:col>
      <xdr:colOff>402167</xdr:colOff>
      <xdr:row>2</xdr:row>
      <xdr:rowOff>105833</xdr:rowOff>
    </xdr:from>
    <xdr:to>
      <xdr:col>8</xdr:col>
      <xdr:colOff>366889</xdr:colOff>
      <xdr:row>7</xdr:row>
      <xdr:rowOff>0</xdr:rowOff>
    </xdr:to>
    <xdr:sp macro="" textlink="">
      <xdr:nvSpPr>
        <xdr:cNvPr id="3" name="Arrow: Left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0470445" y="486833"/>
          <a:ext cx="1785055" cy="959556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D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KE RENCANA SKP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8</xdr:row>
      <xdr:rowOff>0</xdr:rowOff>
    </xdr:from>
    <xdr:to>
      <xdr:col>19</xdr:col>
      <xdr:colOff>428626</xdr:colOff>
      <xdr:row>12</xdr:row>
      <xdr:rowOff>242112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601450" y="1524000"/>
          <a:ext cx="1009650" cy="100411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528170</xdr:colOff>
      <xdr:row>4</xdr:row>
      <xdr:rowOff>35718</xdr:rowOff>
    </xdr:from>
    <xdr:to>
      <xdr:col>24</xdr:col>
      <xdr:colOff>19049</xdr:colOff>
      <xdr:row>10</xdr:row>
      <xdr:rowOff>175436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27389" y="738187"/>
          <a:ext cx="1241098" cy="122318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107156</xdr:colOff>
      <xdr:row>8</xdr:row>
      <xdr:rowOff>70557</xdr:rowOff>
    </xdr:from>
    <xdr:to>
      <xdr:col>3</xdr:col>
      <xdr:colOff>35277</xdr:colOff>
      <xdr:row>14</xdr:row>
      <xdr:rowOff>129471</xdr:rowOff>
    </xdr:to>
    <xdr:sp macro="" textlink="">
      <xdr:nvSpPr>
        <xdr:cNvPr id="3" name="Down Arrow Callout 5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07156" y="1475495"/>
          <a:ext cx="1213996" cy="1392414"/>
        </a:xfrm>
        <a:prstGeom prst="downArrowCallout">
          <a:avLst>
            <a:gd name="adj1" fmla="val 6982"/>
            <a:gd name="adj2" fmla="val 25000"/>
            <a:gd name="adj3" fmla="val 11487"/>
            <a:gd name="adj4" fmla="val 64977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Indikator</a:t>
          </a:r>
          <a:r>
            <a:rPr lang="en-US" sz="1100" baseline="0">
              <a:solidFill>
                <a:sysClr val="windowText" lastClr="000000"/>
              </a:solidFill>
            </a:rPr>
            <a:t> Kinerja Atasan Langsung yang di interversi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287955</xdr:colOff>
      <xdr:row>3</xdr:row>
      <xdr:rowOff>138907</xdr:rowOff>
    </xdr:from>
    <xdr:to>
      <xdr:col>2</xdr:col>
      <xdr:colOff>217663</xdr:colOff>
      <xdr:row>8</xdr:row>
      <xdr:rowOff>29797</xdr:rowOff>
    </xdr:to>
    <xdr:pic>
      <xdr:nvPicPr>
        <xdr:cNvPr id="4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955" y="650876"/>
          <a:ext cx="810771" cy="7838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42333</xdr:colOff>
      <xdr:row>0</xdr:row>
      <xdr:rowOff>0</xdr:rowOff>
    </xdr:from>
    <xdr:to>
      <xdr:col>3</xdr:col>
      <xdr:colOff>91721</xdr:colOff>
      <xdr:row>3</xdr:row>
      <xdr:rowOff>28222</xdr:rowOff>
    </xdr:to>
    <xdr:sp macro="" textlink="">
      <xdr:nvSpPr>
        <xdr:cNvPr id="5" name="Rectangle: Rounded Corners 4">
          <a:hlinkClick xmlns:r="http://schemas.openxmlformats.org/officeDocument/2006/relationships" r:id="rId3" tooltip="LIHAT INDIKATOR KINERJA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42333" y="0"/>
          <a:ext cx="1213555" cy="543278"/>
        </a:xfrm>
        <a:prstGeom prst="roundRect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ID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INDIKATOR KINERJA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508001</xdr:colOff>
      <xdr:row>15</xdr:row>
      <xdr:rowOff>63500</xdr:rowOff>
    </xdr:from>
    <xdr:to>
      <xdr:col>19</xdr:col>
      <xdr:colOff>148167</xdr:colOff>
      <xdr:row>15</xdr:row>
      <xdr:rowOff>762000</xdr:rowOff>
    </xdr:to>
    <xdr:pic>
      <xdr:nvPicPr>
        <xdr:cNvPr id="2" name="Picture 531">
          <a:hlinkClick xmlns:r="http://schemas.openxmlformats.org/officeDocument/2006/relationships" r:id="rId1" tooltip="TABEL PERMENEG PAN &amp; RB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8084" y="3037417"/>
          <a:ext cx="2550583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44201</xdr:colOff>
      <xdr:row>9</xdr:row>
      <xdr:rowOff>158750</xdr:rowOff>
    </xdr:from>
    <xdr:to>
      <xdr:col>17</xdr:col>
      <xdr:colOff>545984</xdr:colOff>
      <xdr:row>14</xdr:row>
      <xdr:rowOff>169574</xdr:rowOff>
    </xdr:to>
    <xdr:pic>
      <xdr:nvPicPr>
        <xdr:cNvPr id="3" name="Picture 140">
          <a:hlinkClick xmlns:r="http://schemas.openxmlformats.org/officeDocument/2006/relationships" r:id="rId3" tooltip="KE MENU UTAMA SKP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458451" y="1873250"/>
          <a:ext cx="1083867" cy="107974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15</xdr:col>
      <xdr:colOff>169333</xdr:colOff>
      <xdr:row>16</xdr:row>
      <xdr:rowOff>256491</xdr:rowOff>
    </xdr:from>
    <xdr:to>
      <xdr:col>18</xdr:col>
      <xdr:colOff>545351</xdr:colOff>
      <xdr:row>19</xdr:row>
      <xdr:rowOff>128245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001500" y="3981824"/>
          <a:ext cx="2122268" cy="1586254"/>
        </a:xfrm>
        <a:prstGeom prst="roundRect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ID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haroni" panose="02010803020104030203" pitchFamily="2" charset="-79"/>
              <a:cs typeface="Aharoni" panose="02010803020104030203" pitchFamily="2" charset="-79"/>
            </a:rPr>
            <a:t>SISIPKAN</a:t>
          </a:r>
          <a:r>
            <a:rPr lang="en-ID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haroni" panose="02010803020104030203" pitchFamily="2" charset="-79"/>
              <a:cs typeface="Aharoni" panose="02010803020104030203" pitchFamily="2" charset="-79"/>
            </a:rPr>
            <a:t> BARIS / HAPUS BARIS SESUAI KEBUTUHAN RENCANA KINERJA DAN BUTIR KEGIATAN YANG TERKAIT</a:t>
          </a:r>
          <a:endParaRPr lang="en-ID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twoCellAnchor>
  <xdr:twoCellAnchor>
    <xdr:from>
      <xdr:col>0</xdr:col>
      <xdr:colOff>52917</xdr:colOff>
      <xdr:row>6</xdr:row>
      <xdr:rowOff>148167</xdr:rowOff>
    </xdr:from>
    <xdr:to>
      <xdr:col>2</xdr:col>
      <xdr:colOff>582084</xdr:colOff>
      <xdr:row>13</xdr:row>
      <xdr:rowOff>94192</xdr:rowOff>
    </xdr:to>
    <xdr:sp macro="" textlink="">
      <xdr:nvSpPr>
        <xdr:cNvPr id="5" name="Down Arrow Callout 5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52917" y="1291167"/>
          <a:ext cx="1386417" cy="1395942"/>
        </a:xfrm>
        <a:prstGeom prst="downArrowCallout">
          <a:avLst>
            <a:gd name="adj1" fmla="val 6982"/>
            <a:gd name="adj2" fmla="val 25000"/>
            <a:gd name="adj3" fmla="val 11487"/>
            <a:gd name="adj4" fmla="val 64977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Dimohon</a:t>
          </a:r>
          <a:r>
            <a:rPr lang="en-US" sz="1100" baseline="0">
              <a:solidFill>
                <a:sysClr val="windowText" lastClr="000000"/>
              </a:solidFill>
            </a:rPr>
            <a:t> jangan menghapus dan mengubah isi daftar tabel angka ini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194734</xdr:colOff>
      <xdr:row>16</xdr:row>
      <xdr:rowOff>95250</xdr:rowOff>
    </xdr:from>
    <xdr:to>
      <xdr:col>15</xdr:col>
      <xdr:colOff>550333</xdr:colOff>
      <xdr:row>17</xdr:row>
      <xdr:rowOff>243044</xdr:rowOff>
    </xdr:to>
    <xdr:pic>
      <xdr:nvPicPr>
        <xdr:cNvPr id="2" name="Picture 531">
          <a:hlinkClick xmlns:r="http://schemas.openxmlformats.org/officeDocument/2006/relationships" r:id="rId1" tooltip="TABEL PERMENEG PAN &amp; RB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7901" y="4307417"/>
          <a:ext cx="2197099" cy="563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8</xdr:row>
      <xdr:rowOff>190501</xdr:rowOff>
    </xdr:from>
    <xdr:to>
      <xdr:col>2</xdr:col>
      <xdr:colOff>571500</xdr:colOff>
      <xdr:row>14</xdr:row>
      <xdr:rowOff>1</xdr:rowOff>
    </xdr:to>
    <xdr:sp macro="" textlink="">
      <xdr:nvSpPr>
        <xdr:cNvPr id="4" name="Down Arrow Callou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9050" y="1090084"/>
          <a:ext cx="1462617" cy="1629834"/>
        </a:xfrm>
        <a:prstGeom prst="downArrowCallout">
          <a:avLst>
            <a:gd name="adj1" fmla="val 6982"/>
            <a:gd name="adj2" fmla="val 25000"/>
            <a:gd name="adj3" fmla="val 11487"/>
            <a:gd name="adj4" fmla="val 64977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Dimohon</a:t>
          </a:r>
          <a:r>
            <a:rPr lang="en-US" sz="1100" baseline="0">
              <a:solidFill>
                <a:sysClr val="windowText" lastClr="000000"/>
              </a:solidFill>
            </a:rPr>
            <a:t> jangan menghapus dan mengubah isi daftar tabel angka ini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12</xdr:col>
      <xdr:colOff>611717</xdr:colOff>
      <xdr:row>7</xdr:row>
      <xdr:rowOff>42333</xdr:rowOff>
    </xdr:from>
    <xdr:to>
      <xdr:col>14</xdr:col>
      <xdr:colOff>506942</xdr:colOff>
      <xdr:row>11</xdr:row>
      <xdr:rowOff>89958</xdr:rowOff>
    </xdr:to>
    <xdr:pic>
      <xdr:nvPicPr>
        <xdr:cNvPr id="5" name="Picture 4" descr="Play Blue.png">
          <a:hlinkClick xmlns:r="http://schemas.openxmlformats.org/officeDocument/2006/relationships" r:id="rId3" tooltip="KE RENCANA SKP JF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2384" y="1534583"/>
          <a:ext cx="1122891" cy="1021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31751</xdr:colOff>
      <xdr:row>13</xdr:row>
      <xdr:rowOff>116416</xdr:rowOff>
    </xdr:from>
    <xdr:to>
      <xdr:col>14</xdr:col>
      <xdr:colOff>510500</xdr:colOff>
      <xdr:row>15</xdr:row>
      <xdr:rowOff>747922</xdr:rowOff>
    </xdr:to>
    <xdr:pic>
      <xdr:nvPicPr>
        <xdr:cNvPr id="6" name="Picture 140">
          <a:hlinkClick xmlns:r="http://schemas.openxmlformats.org/officeDocument/2006/relationships" r:id="rId5" tooltip="KE MENU UTAMA SKP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636251" y="3058583"/>
          <a:ext cx="1092582" cy="108658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12</xdr:col>
      <xdr:colOff>222251</xdr:colOff>
      <xdr:row>19</xdr:row>
      <xdr:rowOff>84667</xdr:rowOff>
    </xdr:from>
    <xdr:to>
      <xdr:col>15</xdr:col>
      <xdr:colOff>529167</xdr:colOff>
      <xdr:row>24</xdr:row>
      <xdr:rowOff>169333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0604501" y="5048250"/>
          <a:ext cx="2148416" cy="1566333"/>
        </a:xfrm>
        <a:prstGeom prst="roundRect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ID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haroni" panose="02010803020104030203" pitchFamily="2" charset="-79"/>
              <a:cs typeface="Aharoni" panose="02010803020104030203" pitchFamily="2" charset="-79"/>
            </a:rPr>
            <a:t>SISIPKAN</a:t>
          </a:r>
          <a:r>
            <a:rPr lang="en-ID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haroni" panose="02010803020104030203" pitchFamily="2" charset="-79"/>
              <a:cs typeface="Aharoni" panose="02010803020104030203" pitchFamily="2" charset="-79"/>
            </a:rPr>
            <a:t> BARIS / HAPUS BARIS SESUAI KEBUTUHAN RENCANA KINERJA DAN BUTIR KEGIATAN YANG TERKAIT</a:t>
          </a:r>
          <a:endParaRPr lang="en-ID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104775</xdr:colOff>
      <xdr:row>16</xdr:row>
      <xdr:rowOff>428624</xdr:rowOff>
    </xdr:from>
    <xdr:to>
      <xdr:col>19</xdr:col>
      <xdr:colOff>371475</xdr:colOff>
      <xdr:row>16</xdr:row>
      <xdr:rowOff>742949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1315700" y="4295774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17</xdr:row>
      <xdr:rowOff>428624</xdr:rowOff>
    </xdr:from>
    <xdr:to>
      <xdr:col>19</xdr:col>
      <xdr:colOff>371475</xdr:colOff>
      <xdr:row>17</xdr:row>
      <xdr:rowOff>742949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1315700" y="5057774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18</xdr:row>
      <xdr:rowOff>419099</xdr:rowOff>
    </xdr:from>
    <xdr:to>
      <xdr:col>19</xdr:col>
      <xdr:colOff>371475</xdr:colOff>
      <xdr:row>18</xdr:row>
      <xdr:rowOff>733424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1315700" y="5810249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19</xdr:row>
      <xdr:rowOff>419099</xdr:rowOff>
    </xdr:from>
    <xdr:to>
      <xdr:col>19</xdr:col>
      <xdr:colOff>371475</xdr:colOff>
      <xdr:row>19</xdr:row>
      <xdr:rowOff>733424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11315700" y="6572249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20</xdr:row>
      <xdr:rowOff>428624</xdr:rowOff>
    </xdr:from>
    <xdr:to>
      <xdr:col>19</xdr:col>
      <xdr:colOff>371475</xdr:colOff>
      <xdr:row>20</xdr:row>
      <xdr:rowOff>742949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11315700" y="7343774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21</xdr:row>
      <xdr:rowOff>419099</xdr:rowOff>
    </xdr:from>
    <xdr:to>
      <xdr:col>19</xdr:col>
      <xdr:colOff>371475</xdr:colOff>
      <xdr:row>21</xdr:row>
      <xdr:rowOff>733424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11315700" y="8096249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22</xdr:row>
      <xdr:rowOff>419099</xdr:rowOff>
    </xdr:from>
    <xdr:to>
      <xdr:col>19</xdr:col>
      <xdr:colOff>371475</xdr:colOff>
      <xdr:row>22</xdr:row>
      <xdr:rowOff>733424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11315700" y="8858249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23</xdr:row>
      <xdr:rowOff>419099</xdr:rowOff>
    </xdr:from>
    <xdr:to>
      <xdr:col>19</xdr:col>
      <xdr:colOff>371475</xdr:colOff>
      <xdr:row>23</xdr:row>
      <xdr:rowOff>733424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11315700" y="9620249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24</xdr:row>
      <xdr:rowOff>419099</xdr:rowOff>
    </xdr:from>
    <xdr:to>
      <xdr:col>19</xdr:col>
      <xdr:colOff>371475</xdr:colOff>
      <xdr:row>24</xdr:row>
      <xdr:rowOff>733424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11315700" y="10382249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25</xdr:row>
      <xdr:rowOff>419099</xdr:rowOff>
    </xdr:from>
    <xdr:to>
      <xdr:col>19</xdr:col>
      <xdr:colOff>371475</xdr:colOff>
      <xdr:row>25</xdr:row>
      <xdr:rowOff>733424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11315700" y="11144249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26</xdr:row>
      <xdr:rowOff>419099</xdr:rowOff>
    </xdr:from>
    <xdr:to>
      <xdr:col>19</xdr:col>
      <xdr:colOff>371475</xdr:colOff>
      <xdr:row>26</xdr:row>
      <xdr:rowOff>733424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11315700" y="11906249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95250</xdr:colOff>
      <xdr:row>27</xdr:row>
      <xdr:rowOff>409574</xdr:rowOff>
    </xdr:from>
    <xdr:to>
      <xdr:col>19</xdr:col>
      <xdr:colOff>361950</xdr:colOff>
      <xdr:row>27</xdr:row>
      <xdr:rowOff>723899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11306175" y="12658724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95250</xdr:colOff>
      <xdr:row>28</xdr:row>
      <xdr:rowOff>409574</xdr:rowOff>
    </xdr:from>
    <xdr:to>
      <xdr:col>19</xdr:col>
      <xdr:colOff>361950</xdr:colOff>
      <xdr:row>28</xdr:row>
      <xdr:rowOff>723899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11306175" y="13420724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95250</xdr:colOff>
      <xdr:row>29</xdr:row>
      <xdr:rowOff>409574</xdr:rowOff>
    </xdr:from>
    <xdr:to>
      <xdr:col>19</xdr:col>
      <xdr:colOff>361950</xdr:colOff>
      <xdr:row>29</xdr:row>
      <xdr:rowOff>723899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11306175" y="14182724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15</xdr:row>
      <xdr:rowOff>428625</xdr:rowOff>
    </xdr:from>
    <xdr:to>
      <xdr:col>19</xdr:col>
      <xdr:colOff>371475</xdr:colOff>
      <xdr:row>15</xdr:row>
      <xdr:rowOff>742950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/>
      </xdr:nvSpPr>
      <xdr:spPr>
        <a:xfrm>
          <a:off x="11315700" y="3533775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32</xdr:row>
      <xdr:rowOff>238125</xdr:rowOff>
    </xdr:from>
    <xdr:to>
      <xdr:col>19</xdr:col>
      <xdr:colOff>371475</xdr:colOff>
      <xdr:row>32</xdr:row>
      <xdr:rowOff>552450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/>
      </xdr:nvSpPr>
      <xdr:spPr>
        <a:xfrm>
          <a:off x="11315700" y="15240000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33</xdr:row>
      <xdr:rowOff>238125</xdr:rowOff>
    </xdr:from>
    <xdr:to>
      <xdr:col>19</xdr:col>
      <xdr:colOff>371475</xdr:colOff>
      <xdr:row>33</xdr:row>
      <xdr:rowOff>552450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/>
      </xdr:nvSpPr>
      <xdr:spPr>
        <a:xfrm>
          <a:off x="11315700" y="15811500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40</xdr:row>
      <xdr:rowOff>238125</xdr:rowOff>
    </xdr:from>
    <xdr:to>
      <xdr:col>19</xdr:col>
      <xdr:colOff>371475</xdr:colOff>
      <xdr:row>40</xdr:row>
      <xdr:rowOff>552450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11315700" y="16383000"/>
          <a:ext cx="657225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21</xdr:col>
      <xdr:colOff>59531</xdr:colOff>
      <xdr:row>3</xdr:row>
      <xdr:rowOff>3559</xdr:rowOff>
    </xdr:from>
    <xdr:to>
      <xdr:col>23</xdr:col>
      <xdr:colOff>270046</xdr:colOff>
      <xdr:row>10</xdr:row>
      <xdr:rowOff>35718</xdr:rowOff>
    </xdr:to>
    <xdr:pic>
      <xdr:nvPicPr>
        <xdr:cNvPr id="20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44437" y="575059"/>
          <a:ext cx="1377328" cy="13656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18</xdr:col>
      <xdr:colOff>104775</xdr:colOff>
      <xdr:row>34</xdr:row>
      <xdr:rowOff>238125</xdr:rowOff>
    </xdr:from>
    <xdr:to>
      <xdr:col>19</xdr:col>
      <xdr:colOff>371475</xdr:colOff>
      <xdr:row>34</xdr:row>
      <xdr:rowOff>552450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11320463" y="15240000"/>
          <a:ext cx="659606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38</xdr:row>
      <xdr:rowOff>238125</xdr:rowOff>
    </xdr:from>
    <xdr:to>
      <xdr:col>19</xdr:col>
      <xdr:colOff>371475</xdr:colOff>
      <xdr:row>38</xdr:row>
      <xdr:rowOff>552450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11320463" y="15811500"/>
          <a:ext cx="659606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39</xdr:row>
      <xdr:rowOff>238125</xdr:rowOff>
    </xdr:from>
    <xdr:to>
      <xdr:col>19</xdr:col>
      <xdr:colOff>371475</xdr:colOff>
      <xdr:row>39</xdr:row>
      <xdr:rowOff>552450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/>
      </xdr:nvSpPr>
      <xdr:spPr>
        <a:xfrm>
          <a:off x="11320463" y="16954500"/>
          <a:ext cx="659606" cy="314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35</xdr:row>
      <xdr:rowOff>238125</xdr:rowOff>
    </xdr:from>
    <xdr:to>
      <xdr:col>19</xdr:col>
      <xdr:colOff>371475</xdr:colOff>
      <xdr:row>35</xdr:row>
      <xdr:rowOff>552450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/>
      </xdr:nvSpPr>
      <xdr:spPr>
        <a:xfrm>
          <a:off x="11320463" y="12954000"/>
          <a:ext cx="659606" cy="2095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36</xdr:row>
      <xdr:rowOff>238125</xdr:rowOff>
    </xdr:from>
    <xdr:to>
      <xdr:col>19</xdr:col>
      <xdr:colOff>371475</xdr:colOff>
      <xdr:row>36</xdr:row>
      <xdr:rowOff>552450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/>
      </xdr:nvSpPr>
      <xdr:spPr>
        <a:xfrm>
          <a:off x="11320463" y="13406438"/>
          <a:ext cx="659606" cy="2286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18</xdr:col>
      <xdr:colOff>104775</xdr:colOff>
      <xdr:row>37</xdr:row>
      <xdr:rowOff>238125</xdr:rowOff>
    </xdr:from>
    <xdr:to>
      <xdr:col>19</xdr:col>
      <xdr:colOff>371475</xdr:colOff>
      <xdr:row>37</xdr:row>
      <xdr:rowOff>552450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/>
      </xdr:nvSpPr>
      <xdr:spPr>
        <a:xfrm>
          <a:off x="11320463" y="13870781"/>
          <a:ext cx="659606" cy="2286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583141</xdr:colOff>
      <xdr:row>18</xdr:row>
      <xdr:rowOff>95250</xdr:rowOff>
    </xdr:from>
    <xdr:to>
      <xdr:col>15</xdr:col>
      <xdr:colOff>60614</xdr:colOff>
      <xdr:row>21</xdr:row>
      <xdr:rowOff>54429</xdr:rowOff>
    </xdr:to>
    <xdr:sp macro="" textlink="">
      <xdr:nvSpPr>
        <xdr:cNvPr id="32" name="Rectangle 31">
          <a:hlinkClick xmlns:r="http://schemas.openxmlformats.org/officeDocument/2006/relationships" r:id="rId1" tooltip="KETERKAITAN JF DICETAK TIDAK PERLU DI PDF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652914" y="3073977"/>
          <a:ext cx="3521268" cy="452747"/>
        </a:xfrm>
        <a:prstGeom prst="rect">
          <a:avLst/>
        </a:prstGeom>
        <a:effectLst>
          <a:glow rad="228600">
            <a:schemeClr val="accent5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11. KETERKAITAN</a:t>
          </a:r>
          <a:r>
            <a:rPr lang="en-US" sz="1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SKP JF (CT no PDF)</a:t>
          </a:r>
          <a:endParaRPr lang="id-ID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1</xdr:col>
      <xdr:colOff>372497</xdr:colOff>
      <xdr:row>28</xdr:row>
      <xdr:rowOff>6801</xdr:rowOff>
    </xdr:from>
    <xdr:to>
      <xdr:col>7</xdr:col>
      <xdr:colOff>421822</xdr:colOff>
      <xdr:row>30</xdr:row>
      <xdr:rowOff>45799</xdr:rowOff>
    </xdr:to>
    <xdr:sp macro="" textlink="">
      <xdr:nvSpPr>
        <xdr:cNvPr id="33" name="Rectangle 32">
          <a:hlinkClick xmlns:r="http://schemas.openxmlformats.org/officeDocument/2006/relationships" r:id="rId2" tooltip="NILAI KINERJA PNS JAN-JUNI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671854" y="4606015"/>
          <a:ext cx="3383075" cy="36557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15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7. KONVERSI NPK JAN-JUNI</a:t>
          </a:r>
          <a:r>
            <a:rPr lang="en-US" sz="1500" b="0" cap="none" spc="0" baseline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 V.2021 (CT)</a:t>
          </a:r>
          <a:endParaRPr lang="id-ID" sz="1500" b="0" cap="none" spc="0">
            <a:ln w="11430"/>
            <a:solidFill>
              <a:schemeClr val="bg1"/>
            </a:soli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8</xdr:col>
      <xdr:colOff>544285</xdr:colOff>
      <xdr:row>13</xdr:row>
      <xdr:rowOff>34018</xdr:rowOff>
    </xdr:from>
    <xdr:to>
      <xdr:col>15</xdr:col>
      <xdr:colOff>43296</xdr:colOff>
      <xdr:row>15</xdr:row>
      <xdr:rowOff>93550</xdr:rowOff>
    </xdr:to>
    <xdr:sp macro="" textlink="">
      <xdr:nvSpPr>
        <xdr:cNvPr id="29" name="Rectangle 28">
          <a:hlinkClick xmlns:r="http://schemas.openxmlformats.org/officeDocument/2006/relationships" r:id="rId3" tooltip="MELIHAT SKP ATASAN (TIDAK PERLU DICETAK)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614058" y="2190132"/>
          <a:ext cx="3542806" cy="388577"/>
        </a:xfrm>
        <a:prstGeom prst="rect">
          <a:avLst/>
        </a:prstGeom>
        <a:effectLst>
          <a:glow rad="228600">
            <a:schemeClr val="accent5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 SemiConden" panose="020B0502040204020203" pitchFamily="34" charset="0"/>
            </a:rPr>
            <a:t>9. SKP ATASAN (TCT)</a:t>
          </a:r>
          <a:endParaRPr lang="id-ID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ahnschrift SemiBold SemiConden" panose="020B0502040204020203" pitchFamily="34" charset="0"/>
          </a:endParaRPr>
        </a:p>
      </xdr:txBody>
    </xdr:sp>
    <xdr:clientData/>
  </xdr:twoCellAnchor>
  <xdr:twoCellAnchor>
    <xdr:from>
      <xdr:col>8</xdr:col>
      <xdr:colOff>521911</xdr:colOff>
      <xdr:row>21</xdr:row>
      <xdr:rowOff>35491</xdr:rowOff>
    </xdr:from>
    <xdr:to>
      <xdr:col>15</xdr:col>
      <xdr:colOff>43296</xdr:colOff>
      <xdr:row>24</xdr:row>
      <xdr:rowOff>68036</xdr:rowOff>
    </xdr:to>
    <xdr:sp macro="" textlink="">
      <xdr:nvSpPr>
        <xdr:cNvPr id="28" name="Rectangle 27">
          <a:hlinkClick xmlns:r="http://schemas.openxmlformats.org/officeDocument/2006/relationships" r:id="rId4" tooltip="REVIEW SKP DICETAK TIDAK PERLU DI PDF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591684" y="3507786"/>
          <a:ext cx="3565180" cy="526114"/>
        </a:xfrm>
        <a:prstGeom prst="rect">
          <a:avLst/>
        </a:prstGeom>
        <a:effectLst>
          <a:glow rad="228600">
            <a:schemeClr val="accent5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12. REVIEW SKP</a:t>
          </a:r>
          <a:r>
            <a:rPr lang="en-US" sz="1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JF (CT no PDF) </a:t>
          </a:r>
          <a:endParaRPr lang="id-ID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8</xdr:col>
      <xdr:colOff>491559</xdr:colOff>
      <xdr:row>26</xdr:row>
      <xdr:rowOff>107154</xdr:rowOff>
    </xdr:from>
    <xdr:to>
      <xdr:col>15</xdr:col>
      <xdr:colOff>60613</xdr:colOff>
      <xdr:row>29</xdr:row>
      <xdr:rowOff>81642</xdr:rowOff>
    </xdr:to>
    <xdr:sp macro="" textlink="">
      <xdr:nvSpPr>
        <xdr:cNvPr id="25" name="Rectangle 24">
          <a:hlinkClick xmlns:r="http://schemas.openxmlformats.org/officeDocument/2006/relationships" r:id="rId5" tooltip="NILAI CAPAIAN SKP JULI DESEMBER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4561332" y="4402063"/>
          <a:ext cx="3612849" cy="468056"/>
        </a:xfrm>
        <a:prstGeom prst="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cap="none" spc="0">
              <a:ln w="0">
                <a:solidFill>
                  <a:schemeClr val="tx1"/>
                </a:solidFill>
              </a:ln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14. PENILAIAN SKP V.21 (CT)</a:t>
          </a:r>
          <a:endParaRPr lang="id-ID" sz="2000" b="0" cap="none" spc="0">
            <a:ln w="0">
              <a:solidFill>
                <a:schemeClr val="tx1"/>
              </a:solidFill>
            </a:ln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2</xdr:col>
      <xdr:colOff>8361</xdr:colOff>
      <xdr:row>11</xdr:row>
      <xdr:rowOff>72174</xdr:rowOff>
    </xdr:from>
    <xdr:to>
      <xdr:col>7</xdr:col>
      <xdr:colOff>406557</xdr:colOff>
      <xdr:row>14</xdr:row>
      <xdr:rowOff>20479</xdr:rowOff>
    </xdr:to>
    <xdr:sp macro="" textlink="">
      <xdr:nvSpPr>
        <xdr:cNvPr id="2" name="Rectangle 1">
          <a:hlinkClick xmlns:r="http://schemas.openxmlformats.org/officeDocument/2006/relationships" r:id="rId6" tooltip="ISI DATA PERSONAL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15932" y="1895531"/>
          <a:ext cx="3323732" cy="438162"/>
        </a:xfrm>
        <a:prstGeom prst="rect">
          <a:avLst/>
        </a:prstGeom>
        <a:effectLst>
          <a:glow rad="228600">
            <a:schemeClr val="accent5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1. </a:t>
          </a:r>
          <a:r>
            <a:rPr lang="en-U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ISI </a:t>
          </a:r>
          <a:r>
            <a:rPr lang="id-ID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DATA</a:t>
          </a:r>
          <a:r>
            <a:rPr lang="id-ID" sz="1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</a:t>
          </a:r>
          <a:r>
            <a:rPr lang="en-US" sz="1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SKP (CT)</a:t>
          </a:r>
          <a:endParaRPr lang="id-ID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2</xdr:col>
      <xdr:colOff>3691</xdr:colOff>
      <xdr:row>17</xdr:row>
      <xdr:rowOff>226</xdr:rowOff>
    </xdr:from>
    <xdr:to>
      <xdr:col>7</xdr:col>
      <xdr:colOff>380534</xdr:colOff>
      <xdr:row>19</xdr:row>
      <xdr:rowOff>119338</xdr:rowOff>
    </xdr:to>
    <xdr:sp macro="" textlink="">
      <xdr:nvSpPr>
        <xdr:cNvPr id="3" name="Rectangle 2">
          <a:hlinkClick xmlns:r="http://schemas.openxmlformats.org/officeDocument/2006/relationships" r:id="rId7" tooltip="ISI SKP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11262" y="2803297"/>
          <a:ext cx="3302379" cy="445684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2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3. </a:t>
          </a:r>
          <a:r>
            <a:rPr lang="en-US" sz="2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ISI</a:t>
          </a:r>
          <a:r>
            <a:rPr lang="id-ID" sz="2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SKP</a:t>
          </a:r>
          <a:r>
            <a:rPr lang="en-US" sz="2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(CT)</a:t>
          </a:r>
          <a:endParaRPr lang="id-ID" sz="2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2</xdr:col>
      <xdr:colOff>3477</xdr:colOff>
      <xdr:row>20</xdr:row>
      <xdr:rowOff>522</xdr:rowOff>
    </xdr:from>
    <xdr:to>
      <xdr:col>7</xdr:col>
      <xdr:colOff>380595</xdr:colOff>
      <xdr:row>22</xdr:row>
      <xdr:rowOff>110033</xdr:rowOff>
    </xdr:to>
    <xdr:sp macro="" textlink="">
      <xdr:nvSpPr>
        <xdr:cNvPr id="4" name="Rectangle 3">
          <a:hlinkClick xmlns:r="http://schemas.openxmlformats.org/officeDocument/2006/relationships" r:id="rId8" tooltip="ISI PENGUKURAN SKP 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11048" y="3293451"/>
          <a:ext cx="3302654" cy="436082"/>
        </a:xfrm>
        <a:prstGeom prst="rect">
          <a:avLst/>
        </a:prstGeom>
        <a:effectLst>
          <a:glow rad="228600">
            <a:schemeClr val="accent5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id-ID" sz="18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4. PENGUKURAN  SKP</a:t>
          </a:r>
          <a:r>
            <a:rPr lang="en-US" sz="18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 (CT)</a:t>
          </a:r>
          <a:endParaRPr lang="id-ID" sz="1800" b="0" cap="none" spc="0">
            <a:ln w="11430"/>
            <a:solidFill>
              <a:schemeClr val="bg1"/>
            </a:soli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2</xdr:col>
      <xdr:colOff>5858</xdr:colOff>
      <xdr:row>23</xdr:row>
      <xdr:rowOff>2638</xdr:rowOff>
    </xdr:from>
    <xdr:to>
      <xdr:col>7</xdr:col>
      <xdr:colOff>381606</xdr:colOff>
      <xdr:row>25</xdr:row>
      <xdr:rowOff>13607</xdr:rowOff>
    </xdr:to>
    <xdr:sp macro="" textlink="">
      <xdr:nvSpPr>
        <xdr:cNvPr id="5" name="Rectangle 4">
          <a:hlinkClick xmlns:r="http://schemas.openxmlformats.org/officeDocument/2006/relationships" r:id="rId9" tooltip="ISI NILAI PERILAKU SKP 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13429" y="3785424"/>
          <a:ext cx="3301284" cy="337540"/>
        </a:xfrm>
        <a:prstGeom prst="rect">
          <a:avLst/>
        </a:prstGeom>
        <a:effectLst>
          <a:glow rad="228600">
            <a:schemeClr val="accent5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id-ID" sz="1800" b="0" cap="none" spc="0">
              <a:ln w="11430"/>
              <a:solidFill>
                <a:schemeClr val="bg2">
                  <a:lumMod val="10000"/>
                </a:schemeClr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5. </a:t>
          </a:r>
          <a:r>
            <a:rPr lang="en-US" sz="1800" b="0" cap="none" spc="0">
              <a:ln w="11430"/>
              <a:solidFill>
                <a:schemeClr val="bg2">
                  <a:lumMod val="10000"/>
                </a:schemeClr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NILAI </a:t>
          </a:r>
          <a:r>
            <a:rPr lang="id-ID" sz="1800" b="0" cap="none" spc="0">
              <a:ln w="11430"/>
              <a:solidFill>
                <a:schemeClr val="bg2">
                  <a:lumMod val="10000"/>
                </a:schemeClr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PERILAKU KERJA</a:t>
          </a:r>
          <a:r>
            <a:rPr lang="en-US" sz="1800" b="0" cap="none" spc="0">
              <a:ln w="11430"/>
              <a:solidFill>
                <a:schemeClr val="bg2">
                  <a:lumMod val="10000"/>
                </a:schemeClr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 (CT)</a:t>
          </a:r>
          <a:endParaRPr lang="id-ID" sz="1800" b="0" cap="none" spc="0">
            <a:ln w="11430"/>
            <a:solidFill>
              <a:schemeClr val="bg2">
                <a:lumMod val="10000"/>
              </a:schemeClr>
            </a:soli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1</xdr:col>
      <xdr:colOff>404813</xdr:colOff>
      <xdr:row>14</xdr:row>
      <xdr:rowOff>53466</xdr:rowOff>
    </xdr:from>
    <xdr:to>
      <xdr:col>7</xdr:col>
      <xdr:colOff>394606</xdr:colOff>
      <xdr:row>17</xdr:row>
      <xdr:rowOff>1148</xdr:rowOff>
    </xdr:to>
    <xdr:sp macro="" textlink="">
      <xdr:nvSpPr>
        <xdr:cNvPr id="7" name="Rectangle 6">
          <a:hlinkClick xmlns:r="http://schemas.openxmlformats.org/officeDocument/2006/relationships" r:id="rId10" tooltip="CETAK JUDUL SKP 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704170" y="2366680"/>
          <a:ext cx="3323543" cy="437539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2. COVER</a:t>
          </a:r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SKP (CT)</a:t>
          </a:r>
          <a:endParaRPr lang="id-ID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2</xdr:col>
      <xdr:colOff>4535</xdr:colOff>
      <xdr:row>8</xdr:row>
      <xdr:rowOff>68789</xdr:rowOff>
    </xdr:from>
    <xdr:to>
      <xdr:col>7</xdr:col>
      <xdr:colOff>397407</xdr:colOff>
      <xdr:row>11</xdr:row>
      <xdr:rowOff>24615</xdr:rowOff>
    </xdr:to>
    <xdr:sp macro="" textlink="">
      <xdr:nvSpPr>
        <xdr:cNvPr id="10" name="Rectangle 9">
          <a:hlinkClick xmlns:r="http://schemas.openxmlformats.org/officeDocument/2006/relationships" r:id="rId11" tooltip="ISI TANGGAL DAN PERIODE SKP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712106" y="1402289"/>
          <a:ext cx="3318408" cy="445683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ISI TANGGAL PERIODE</a:t>
          </a:r>
          <a:endParaRPr lang="id-ID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8</xdr:col>
      <xdr:colOff>578916</xdr:colOff>
      <xdr:row>10</xdr:row>
      <xdr:rowOff>160621</xdr:rowOff>
    </xdr:from>
    <xdr:to>
      <xdr:col>15</xdr:col>
      <xdr:colOff>69273</xdr:colOff>
      <xdr:row>13</xdr:row>
      <xdr:rowOff>32318</xdr:rowOff>
    </xdr:to>
    <xdr:sp macro="" textlink="">
      <xdr:nvSpPr>
        <xdr:cNvPr id="11" name="Rectangle 10">
          <a:hlinkClick xmlns:r="http://schemas.openxmlformats.org/officeDocument/2006/relationships" r:id="rId12" tooltip="INPUT DATA PERSONAL SKP 2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648689" y="1823166"/>
          <a:ext cx="3534152" cy="365266"/>
        </a:xfrm>
        <a:prstGeom prst="rect">
          <a:avLst/>
        </a:prstGeom>
        <a:effectLst>
          <a:glow rad="228600">
            <a:schemeClr val="accent5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8. ISI </a:t>
          </a:r>
          <a:r>
            <a:rPr lang="id-ID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DATA</a:t>
          </a:r>
          <a:r>
            <a:rPr lang="id-ID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</a:t>
          </a:r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SKP PNS (CT)</a:t>
          </a:r>
          <a:endParaRPr lang="id-ID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8</xdr:col>
      <xdr:colOff>548924</xdr:colOff>
      <xdr:row>15</xdr:row>
      <xdr:rowOff>115660</xdr:rowOff>
    </xdr:from>
    <xdr:to>
      <xdr:col>15</xdr:col>
      <xdr:colOff>63789</xdr:colOff>
      <xdr:row>18</xdr:row>
      <xdr:rowOff>81644</xdr:rowOff>
    </xdr:to>
    <xdr:sp macro="" textlink="">
      <xdr:nvSpPr>
        <xdr:cNvPr id="12" name="Rectangle 11">
          <a:hlinkClick xmlns:r="http://schemas.openxmlformats.org/officeDocument/2006/relationships" r:id="rId13" tooltip="RENCANA SKP TIDAK PERLU DICETAK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618697" y="2600819"/>
          <a:ext cx="3558660" cy="459552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10. RENCANA</a:t>
          </a:r>
          <a:r>
            <a:rPr lang="id-ID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</a:t>
          </a:r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SKP (TCT)</a:t>
          </a:r>
          <a:endParaRPr lang="id-ID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8</xdr:col>
      <xdr:colOff>547687</xdr:colOff>
      <xdr:row>23</xdr:row>
      <xdr:rowOff>145099</xdr:rowOff>
    </xdr:from>
    <xdr:to>
      <xdr:col>15</xdr:col>
      <xdr:colOff>34637</xdr:colOff>
      <xdr:row>26</xdr:row>
      <xdr:rowOff>94725</xdr:rowOff>
    </xdr:to>
    <xdr:sp macro="" textlink="">
      <xdr:nvSpPr>
        <xdr:cNvPr id="13" name="Rectangle 12">
          <a:hlinkClick xmlns:r="http://schemas.openxmlformats.org/officeDocument/2006/relationships" r:id="rId14" tooltip="PENETAPAN CAPAIAN SKP 2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617460" y="3946440"/>
          <a:ext cx="3530745" cy="443194"/>
        </a:xfrm>
        <a:prstGeom prst="rect">
          <a:avLst/>
        </a:prstGeom>
        <a:effectLst>
          <a:glow rad="228600">
            <a:schemeClr val="accent5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2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13. PENETAPAN</a:t>
          </a:r>
          <a:r>
            <a:rPr lang="id-ID" sz="22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  SKP</a:t>
          </a:r>
          <a:r>
            <a:rPr lang="en-US" sz="22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 (CT)</a:t>
          </a:r>
          <a:endParaRPr lang="id-ID" sz="2200" b="0" cap="none" spc="0">
            <a:ln w="11430"/>
            <a:solidFill>
              <a:schemeClr val="bg1"/>
            </a:soli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8</xdr:col>
      <xdr:colOff>588509</xdr:colOff>
      <xdr:row>29</xdr:row>
      <xdr:rowOff>103909</xdr:rowOff>
    </xdr:from>
    <xdr:to>
      <xdr:col>15</xdr:col>
      <xdr:colOff>43295</xdr:colOff>
      <xdr:row>32</xdr:row>
      <xdr:rowOff>42239</xdr:rowOff>
    </xdr:to>
    <xdr:sp macro="" textlink="">
      <xdr:nvSpPr>
        <xdr:cNvPr id="14" name="Rectangle 13">
          <a:hlinkClick xmlns:r="http://schemas.openxmlformats.org/officeDocument/2006/relationships" r:id="rId15" tooltip="INPUT NILAI PERILAKU SKP 2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658282" y="4892386"/>
          <a:ext cx="3498581" cy="431898"/>
        </a:xfrm>
        <a:prstGeom prst="rect">
          <a:avLst/>
        </a:prstGeom>
        <a:effectLst>
          <a:glow rad="228600">
            <a:schemeClr val="accent5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Condensed" panose="020B0502040204020203" pitchFamily="34" charset="0"/>
            </a:rPr>
            <a:t>15. PENILAIAN </a:t>
          </a:r>
          <a:r>
            <a:rPr lang="id-ID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Condensed" panose="020B0502040204020203" pitchFamily="34" charset="0"/>
            </a:rPr>
            <a:t>PERILAKU KERJA</a:t>
          </a:r>
          <a:r>
            <a:rPr lang="en-U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Condensed" panose="020B0502040204020203" pitchFamily="34" charset="0"/>
            </a:rPr>
            <a:t> (CT)</a:t>
          </a:r>
          <a:endParaRPr lang="id-ID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ahnschrift SemiCondensed" panose="020B0502040204020203" pitchFamily="34" charset="0"/>
          </a:endParaRPr>
        </a:p>
      </xdr:txBody>
    </xdr:sp>
    <xdr:clientData/>
  </xdr:twoCellAnchor>
  <xdr:twoCellAnchor>
    <xdr:from>
      <xdr:col>8</xdr:col>
      <xdr:colOff>561293</xdr:colOff>
      <xdr:row>8</xdr:row>
      <xdr:rowOff>21730</xdr:rowOff>
    </xdr:from>
    <xdr:to>
      <xdr:col>15</xdr:col>
      <xdr:colOff>69273</xdr:colOff>
      <xdr:row>10</xdr:row>
      <xdr:rowOff>140842</xdr:rowOff>
    </xdr:to>
    <xdr:sp macro="" textlink="">
      <xdr:nvSpPr>
        <xdr:cNvPr id="16" name="Rectangle 15">
          <a:hlinkClick xmlns:r="http://schemas.openxmlformats.org/officeDocument/2006/relationships" r:id="rId11" tooltip="ISI TANGGAL PERIODE SKP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631066" y="1355230"/>
          <a:ext cx="3551775" cy="448157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ISI TANGGAL PERIODE</a:t>
          </a:r>
          <a:endParaRPr lang="id-ID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15</xdr:col>
      <xdr:colOff>530675</xdr:colOff>
      <xdr:row>18</xdr:row>
      <xdr:rowOff>2080</xdr:rowOff>
    </xdr:from>
    <xdr:to>
      <xdr:col>22</xdr:col>
      <xdr:colOff>244928</xdr:colOff>
      <xdr:row>22</xdr:row>
      <xdr:rowOff>51027</xdr:rowOff>
    </xdr:to>
    <xdr:sp macro="" textlink="">
      <xdr:nvSpPr>
        <xdr:cNvPr id="18" name="Rectangle 17">
          <a:hlinkClick xmlns:r="http://schemas.openxmlformats.org/officeDocument/2006/relationships" r:id="rId16" tooltip="HASIL INTEGRASI PENILAIAN SKP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8708568" y="2968437"/>
          <a:ext cx="4000503" cy="702090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18. INTEGRASI</a:t>
          </a:r>
          <a:r>
            <a:rPr lang="en-US" sz="1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 PENILAIAN PRESTASI KINERJA</a:t>
          </a:r>
        </a:p>
        <a:p>
          <a:pPr algn="ctr"/>
          <a:r>
            <a:rPr lang="en-US" sz="1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ernard MT Condensed" pitchFamily="18" charset="0"/>
            </a:rPr>
            <a:t>PNS JANUARI-DESEMBER (CT)</a:t>
          </a:r>
          <a:endParaRPr lang="id-ID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1</xdr:col>
      <xdr:colOff>380999</xdr:colOff>
      <xdr:row>25</xdr:row>
      <xdr:rowOff>68036</xdr:rowOff>
    </xdr:from>
    <xdr:to>
      <xdr:col>7</xdr:col>
      <xdr:colOff>421822</xdr:colOff>
      <xdr:row>27</xdr:row>
      <xdr:rowOff>149678</xdr:rowOff>
    </xdr:to>
    <xdr:sp macro="" textlink="">
      <xdr:nvSpPr>
        <xdr:cNvPr id="19" name="Rectangle 18">
          <a:hlinkClick xmlns:r="http://schemas.openxmlformats.org/officeDocument/2006/relationships" r:id="rId17" tooltip="NILAI PRESTASI KERJA JAN-JUNI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680356" y="4177393"/>
          <a:ext cx="3374573" cy="408214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16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6. NPK JAN-JUNI</a:t>
          </a:r>
          <a:r>
            <a:rPr lang="en-US" sz="1600" b="0" cap="none" spc="0" baseline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 V.2021 (CT)</a:t>
          </a:r>
          <a:endParaRPr lang="id-ID" sz="1600" b="0" cap="none" spc="0">
            <a:ln w="11430"/>
            <a:solidFill>
              <a:schemeClr val="bg1"/>
            </a:soli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>
    <xdr:from>
      <xdr:col>15</xdr:col>
      <xdr:colOff>333375</xdr:colOff>
      <xdr:row>10</xdr:row>
      <xdr:rowOff>81644</xdr:rowOff>
    </xdr:from>
    <xdr:to>
      <xdr:col>22</xdr:col>
      <xdr:colOff>464344</xdr:colOff>
      <xdr:row>13</xdr:row>
      <xdr:rowOff>105404</xdr:rowOff>
    </xdr:to>
    <xdr:sp macro="" textlink="">
      <xdr:nvSpPr>
        <xdr:cNvPr id="20" name="Rectangle 19">
          <a:hlinkClick xmlns:r="http://schemas.openxmlformats.org/officeDocument/2006/relationships" r:id="rId18" tooltip="NILAI PRESTASI KERJA SKP 2 JULI-DESEMBER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8453438" y="1748519"/>
          <a:ext cx="4381500" cy="523823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16. PENILAIAN SKP JULI-DES</a:t>
          </a:r>
          <a:r>
            <a:rPr lang="en-US" sz="2000" b="0" cap="none" spc="0" baseline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 V.2021 (CT)</a:t>
          </a:r>
          <a:endParaRPr lang="id-ID" sz="2000" b="0" cap="none" spc="0">
            <a:ln w="11430"/>
            <a:solidFill>
              <a:schemeClr val="bg1"/>
            </a:soli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 editAs="oneCell">
    <xdr:from>
      <xdr:col>2</xdr:col>
      <xdr:colOff>1360</xdr:colOff>
      <xdr:row>5</xdr:row>
      <xdr:rowOff>68793</xdr:rowOff>
    </xdr:from>
    <xdr:to>
      <xdr:col>8</xdr:col>
      <xdr:colOff>3506</xdr:colOff>
      <xdr:row>8</xdr:row>
      <xdr:rowOff>65544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8931" y="912436"/>
          <a:ext cx="3390325" cy="486608"/>
        </a:xfrm>
        <a:prstGeom prst="rect">
          <a:avLst/>
        </a:prstGeom>
      </xdr:spPr>
    </xdr:pic>
    <xdr:clientData/>
  </xdr:twoCellAnchor>
  <xdr:twoCellAnchor editAs="oneCell">
    <xdr:from>
      <xdr:col>8</xdr:col>
      <xdr:colOff>568435</xdr:colOff>
      <xdr:row>5</xdr:row>
      <xdr:rowOff>20409</xdr:rowOff>
    </xdr:from>
    <xdr:to>
      <xdr:col>15</xdr:col>
      <xdr:colOff>33305</xdr:colOff>
      <xdr:row>8</xdr:row>
      <xdr:rowOff>15574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38208" y="860341"/>
          <a:ext cx="3508665" cy="488733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353786</xdr:colOff>
      <xdr:row>1</xdr:row>
      <xdr:rowOff>23813</xdr:rowOff>
    </xdr:from>
    <xdr:to>
      <xdr:col>20</xdr:col>
      <xdr:colOff>476250</xdr:colOff>
      <xdr:row>4</xdr:row>
      <xdr:rowOff>114227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53143" y="200706"/>
          <a:ext cx="11062607" cy="593878"/>
        </a:xfrm>
        <a:prstGeom prst="rect">
          <a:avLst/>
        </a:prstGeom>
      </xdr:spPr>
    </xdr:pic>
    <xdr:clientData/>
  </xdr:twoCellAnchor>
  <xdr:twoCellAnchor>
    <xdr:from>
      <xdr:col>2</xdr:col>
      <xdr:colOff>3741</xdr:colOff>
      <xdr:row>5</xdr:row>
      <xdr:rowOff>47624</xdr:rowOff>
    </xdr:from>
    <xdr:to>
      <xdr:col>7</xdr:col>
      <xdr:colOff>421822</xdr:colOff>
      <xdr:row>30</xdr:row>
      <xdr:rowOff>95250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711312" y="891267"/>
          <a:ext cx="3343617" cy="4129769"/>
        </a:xfrm>
        <a:prstGeom prst="rect">
          <a:avLst/>
        </a:prstGeom>
        <a:noFill/>
        <a:ln w="104775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8</xdr:col>
      <xdr:colOff>544623</xdr:colOff>
      <xdr:row>5</xdr:row>
      <xdr:rowOff>18027</xdr:rowOff>
    </xdr:from>
    <xdr:to>
      <xdr:col>15</xdr:col>
      <xdr:colOff>51955</xdr:colOff>
      <xdr:row>32</xdr:row>
      <xdr:rowOff>69273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614396" y="857959"/>
          <a:ext cx="3551127" cy="4493359"/>
        </a:xfrm>
        <a:prstGeom prst="rect">
          <a:avLst/>
        </a:prstGeom>
        <a:noFill/>
        <a:ln w="104775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 editAs="oneCell">
    <xdr:from>
      <xdr:col>20</xdr:col>
      <xdr:colOff>471147</xdr:colOff>
      <xdr:row>0</xdr:row>
      <xdr:rowOff>127567</xdr:rowOff>
    </xdr:from>
    <xdr:to>
      <xdr:col>23</xdr:col>
      <xdr:colOff>59194</xdr:colOff>
      <xdr:row>8</xdr:row>
      <xdr:rowOff>106818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0647" y="127567"/>
          <a:ext cx="1343368" cy="1312751"/>
        </a:xfrm>
        <a:prstGeom prst="rect">
          <a:avLst/>
        </a:prstGeom>
      </xdr:spPr>
    </xdr:pic>
    <xdr:clientData/>
  </xdr:twoCellAnchor>
  <xdr:twoCellAnchor editAs="oneCell">
    <xdr:from>
      <xdr:col>21</xdr:col>
      <xdr:colOff>68038</xdr:colOff>
      <xdr:row>1</xdr:row>
      <xdr:rowOff>20411</xdr:rowOff>
    </xdr:from>
    <xdr:to>
      <xdr:col>22</xdr:col>
      <xdr:colOff>341881</xdr:colOff>
      <xdr:row>6</xdr:row>
      <xdr:rowOff>68036</xdr:rowOff>
    </xdr:to>
    <xdr:pic>
      <xdr:nvPicPr>
        <xdr:cNvPr id="26" name="Picture 25">
          <a:hlinkClick xmlns:r="http://schemas.openxmlformats.org/officeDocument/2006/relationships" r:id="rId23" tooltip="AUTHOR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9859" y="197304"/>
          <a:ext cx="886165" cy="877661"/>
        </a:xfrm>
        <a:prstGeom prst="roundRect">
          <a:avLst>
            <a:gd name="adj" fmla="val 16667"/>
          </a:avLst>
        </a:prstGeom>
        <a:ln>
          <a:noFill/>
        </a:ln>
        <a:effectLst>
          <a:glow rad="228600">
            <a:schemeClr val="accent4">
              <a:satMod val="175000"/>
              <a:alpha val="40000"/>
            </a:schemeClr>
          </a:glow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15</xdr:col>
      <xdr:colOff>345281</xdr:colOff>
      <xdr:row>14</xdr:row>
      <xdr:rowOff>40822</xdr:rowOff>
    </xdr:from>
    <xdr:to>
      <xdr:col>22</xdr:col>
      <xdr:colOff>404811</xdr:colOff>
      <xdr:row>17</xdr:row>
      <xdr:rowOff>67305</xdr:rowOff>
    </xdr:to>
    <xdr:sp macro="" textlink="">
      <xdr:nvSpPr>
        <xdr:cNvPr id="35" name="Rectangle 34">
          <a:hlinkClick xmlns:r="http://schemas.openxmlformats.org/officeDocument/2006/relationships" r:id="rId26" tooltip="LAPORAN DATA PENILAIAN KINERJA PEGAWAI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8465344" y="2374447"/>
          <a:ext cx="4310061" cy="526546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17. LAPORAN</a:t>
          </a:r>
          <a:r>
            <a:rPr lang="en-US" sz="2000" b="0" cap="none" spc="0" baseline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 DATA PENILAIAN</a:t>
          </a:r>
          <a:r>
            <a:rPr lang="en-US" sz="20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 KINERJA (CT) </a:t>
          </a:r>
          <a:endParaRPr lang="id-ID" sz="2000" b="0" cap="none" spc="0">
            <a:ln w="11430"/>
            <a:solidFill>
              <a:schemeClr val="bg1"/>
            </a:soli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  <a:latin typeface="Bernard MT Condensed" pitchFamily="18" charset="0"/>
          </a:endParaRPr>
        </a:p>
      </xdr:txBody>
    </xdr:sp>
    <xdr:clientData/>
  </xdr:twoCellAnchor>
  <xdr:twoCellAnchor editAs="oneCell">
    <xdr:from>
      <xdr:col>16</xdr:col>
      <xdr:colOff>81643</xdr:colOff>
      <xdr:row>29</xdr:row>
      <xdr:rowOff>122466</xdr:rowOff>
    </xdr:from>
    <xdr:to>
      <xdr:col>22</xdr:col>
      <xdr:colOff>430704</xdr:colOff>
      <xdr:row>34</xdr:row>
      <xdr:rowOff>122919</xdr:rowOff>
    </xdr:to>
    <xdr:pic>
      <xdr:nvPicPr>
        <xdr:cNvPr id="36" name="Picture 531">
          <a:hlinkClick xmlns:r="http://schemas.openxmlformats.org/officeDocument/2006/relationships" r:id="rId27" tooltip="TABEL PERMENEG PAN &amp; RB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1857" y="4884966"/>
          <a:ext cx="4022990" cy="81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34635</xdr:colOff>
      <xdr:row>22</xdr:row>
      <xdr:rowOff>159575</xdr:rowOff>
    </xdr:from>
    <xdr:to>
      <xdr:col>21</xdr:col>
      <xdr:colOff>285749</xdr:colOff>
      <xdr:row>26</xdr:row>
      <xdr:rowOff>71437</xdr:rowOff>
    </xdr:to>
    <xdr:sp macro="" textlink="">
      <xdr:nvSpPr>
        <xdr:cNvPr id="30" name="Rectangle 29">
          <a:hlinkClick xmlns:r="http://schemas.openxmlformats.org/officeDocument/2006/relationships" r:id="rId29" tooltip="LAPORAN DATA PENILAIAN KINERJA PEGAWAI"/>
          <a:extLst>
            <a:ext uri="{FF2B5EF4-FFF2-40B4-BE49-F238E27FC236}">
              <a16:creationId xmlns:a16="http://schemas.microsoft.com/office/drawing/2014/main" id="{D535C3E3-3093-41CF-B7AB-71F115649332}"/>
            </a:ext>
          </a:extLst>
        </xdr:cNvPr>
        <xdr:cNvSpPr/>
      </xdr:nvSpPr>
      <xdr:spPr>
        <a:xfrm>
          <a:off x="9369135" y="3826700"/>
          <a:ext cx="2679989" cy="578612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800" b="0" cap="none" spc="0">
              <a:ln w="11430"/>
              <a:solidFill>
                <a:schemeClr val="bg1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Bernard MT Condensed" pitchFamily="18" charset="0"/>
            </a:rPr>
            <a:t>19. DKP 2021 (CT) </a:t>
          </a:r>
          <a:endParaRPr lang="id-ID" sz="2800" b="0" cap="none" spc="0">
            <a:ln w="11430"/>
            <a:solidFill>
              <a:schemeClr val="bg1"/>
            </a:soli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  <a:latin typeface="Bernard MT Condensed" pitchFamily="18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447675</xdr:colOff>
      <xdr:row>5</xdr:row>
      <xdr:rowOff>66675</xdr:rowOff>
    </xdr:from>
    <xdr:to>
      <xdr:col>18</xdr:col>
      <xdr:colOff>295275</xdr:colOff>
      <xdr:row>10</xdr:row>
      <xdr:rowOff>16687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0925" y="962025"/>
          <a:ext cx="1009650" cy="100411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227665</xdr:colOff>
      <xdr:row>4</xdr:row>
      <xdr:rowOff>178594</xdr:rowOff>
    </xdr:from>
    <xdr:to>
      <xdr:col>26</xdr:col>
      <xdr:colOff>495792</xdr:colOff>
      <xdr:row>12</xdr:row>
      <xdr:rowOff>95250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75236" y="940594"/>
          <a:ext cx="1438342" cy="144065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469900</xdr:colOff>
      <xdr:row>7</xdr:row>
      <xdr:rowOff>19050</xdr:rowOff>
    </xdr:from>
    <xdr:to>
      <xdr:col>19</xdr:col>
      <xdr:colOff>112183</xdr:colOff>
      <xdr:row>12</xdr:row>
      <xdr:rowOff>26525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74250" y="1352550"/>
          <a:ext cx="1013883" cy="9599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</xdr:row>
      <xdr:rowOff>0</xdr:rowOff>
    </xdr:from>
    <xdr:to>
      <xdr:col>19</xdr:col>
      <xdr:colOff>375708</xdr:colOff>
      <xdr:row>10</xdr:row>
      <xdr:rowOff>83675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25050" y="1143000"/>
          <a:ext cx="956733" cy="9599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269493</xdr:colOff>
      <xdr:row>0</xdr:row>
      <xdr:rowOff>160671</xdr:rowOff>
    </xdr:from>
    <xdr:to>
      <xdr:col>11</xdr:col>
      <xdr:colOff>523875</xdr:colOff>
      <xdr:row>4</xdr:row>
      <xdr:rowOff>210289</xdr:rowOff>
    </xdr:to>
    <xdr:pic>
      <xdr:nvPicPr>
        <xdr:cNvPr id="4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84693" y="160671"/>
          <a:ext cx="863982" cy="85924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87003</xdr:colOff>
      <xdr:row>49</xdr:row>
      <xdr:rowOff>224064</xdr:rowOff>
    </xdr:from>
    <xdr:ext cx="7410533" cy="3202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1800-000002000000}"/>
                </a:ext>
              </a:extLst>
            </xdr:cNvPr>
            <xdr:cNvSpPr txBox="1"/>
          </xdr:nvSpPr>
          <xdr:spPr>
            <a:xfrm>
              <a:off x="4005860" y="18307957"/>
              <a:ext cx="7410533" cy="320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r>
                <a:rPr lang="en-US" sz="1200"/>
                <a:t>=  </a:t>
              </a:r>
              <a14:m>
                <m:oMath xmlns:m="http://schemas.openxmlformats.org/officeDocument/2006/math">
                  <m:f>
                    <m:fPr>
                      <m:ctrlPr>
                        <a:rPr lang="en-US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1200" i="1">
                          <a:latin typeface="Cambria Math" panose="02040503050406030204" pitchFamily="18" charset="0"/>
                        </a:rPr>
                        <m:t>𝑇𝑜𝑡𝑎𝑙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𝑁𝑖𝑙𝑎𝑖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𝑇𝑒𝑟𝑡𝑖𝑚𝑏𝑎𝑛𝑔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𝐶𝑎𝑝𝑎𝑖𝑎𝑛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𝑅𝑒𝑛𝑐𝑎𝑛𝑎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𝐾𝑖𝑛𝑒𝑟𝑗𝑎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en-US" sz="1200" i="1">
                          <a:latin typeface="Cambria Math" panose="02040503050406030204" pitchFamily="18" charset="0"/>
                        </a:rPr>
                        <m:t>𝑈𝑡𝑎𝑚𝑎</m:t>
                      </m:r>
                    </m:num>
                    <m:den>
                      <m:r>
                        <m:rPr>
                          <m:nor/>
                        </m:rPr>
                        <a:rPr lang="en-US" sz="12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Jumlah</m:t>
                      </m:r>
                      <m:r>
                        <m:rPr>
                          <m:nor/>
                        </m:rPr>
                        <a:rPr lang="en-US" sz="12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 </m:t>
                      </m:r>
                      <m:r>
                        <m:rPr>
                          <m:nor/>
                        </m:rPr>
                        <a:rPr lang="en-US" sz="12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Rencana</m:t>
                      </m:r>
                      <m:r>
                        <m:rPr>
                          <m:nor/>
                        </m:rPr>
                        <a:rPr lang="en-US" sz="12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 </m:t>
                      </m:r>
                      <m:r>
                        <m:rPr>
                          <m:nor/>
                        </m:rPr>
                        <a:rPr lang="en-US" sz="12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Kinerja</m:t>
                      </m:r>
                      <m:r>
                        <m:rPr>
                          <m:nor/>
                        </m:rPr>
                        <a:rPr lang="en-US" sz="12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 </m:t>
                      </m:r>
                      <m:r>
                        <m:rPr>
                          <m:nor/>
                        </m:rPr>
                        <a:rPr lang="en-US" sz="12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Utama</m:t>
                      </m:r>
                      <m:r>
                        <m:rPr>
                          <m:nor/>
                        </m:rPr>
                        <a:rPr lang="en-US" sz="12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 </m:t>
                      </m:r>
                    </m:den>
                  </m:f>
                  <m:r>
                    <a:rPr lang="en-US" sz="1200" i="1">
                      <a:latin typeface="Cambria Math" panose="02040503050406030204" pitchFamily="18" charset="0"/>
                    </a:rPr>
                    <m:t>+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Total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 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Nilai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 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tertimbang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 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Capaian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 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Rencana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 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Kinerja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 </m:t>
                  </m:r>
                  <m:r>
                    <m:rPr>
                      <m:nor/>
                    </m:rPr>
                    <a:rPr lang="en-US" sz="12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Tambahan</m:t>
                  </m:r>
                  <m:r>
                    <a:rPr lang="en-US" sz="1200" i="1">
                      <a:latin typeface="Cambria Math" panose="02040503050406030204" pitchFamily="18" charset="0"/>
                    </a:rPr>
                    <m:t>…</m:t>
                  </m:r>
                </m:oMath>
              </a14:m>
              <a:endParaRPr lang="en-US" sz="12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D9968FC-41DA-4BA2-8D35-17EF44E22E4F}"/>
                </a:ext>
              </a:extLst>
            </xdr:cNvPr>
            <xdr:cNvSpPr txBox="1"/>
          </xdr:nvSpPr>
          <xdr:spPr>
            <a:xfrm>
              <a:off x="4005860" y="18307957"/>
              <a:ext cx="7410533" cy="3202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r>
                <a:rPr lang="en-US" sz="1200"/>
                <a:t>=  </a:t>
              </a:r>
              <a:r>
                <a:rPr lang="en-US" sz="1200" i="0">
                  <a:latin typeface="Cambria Math" panose="02040503050406030204" pitchFamily="18" charset="0"/>
                </a:rPr>
                <a:t>(𝑇𝑜𝑡𝑎𝑙 𝑁𝑖𝑙𝑎𝑖 𝑇𝑒𝑟𝑡𝑖𝑚𝑏𝑎𝑛𝑔 𝐶𝑎𝑝𝑎𝑖𝑎𝑛 𝑅𝑒𝑛𝑐𝑎𝑛𝑎 𝐾𝑖𝑛𝑒𝑟𝑗𝑎 𝑈𝑡𝑎𝑚𝑎)/</a:t>
              </a:r>
              <a:r>
                <a:rPr lang="en-US" sz="12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"Jumlah Rencana Kinerja Utama </a:t>
              </a:r>
              <a:r>
                <a:rPr lang="en-US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</a:t>
              </a:r>
              <a:r>
                <a:rPr lang="en-US" sz="1200" i="0">
                  <a:latin typeface="Cambria Math" panose="02040503050406030204" pitchFamily="18" charset="0"/>
                </a:rPr>
                <a:t>+</a:t>
              </a:r>
              <a:r>
                <a:rPr lang="en-US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"Total Nilai tertimbang Capaian Rencana Kinerja Tambahan"</a:t>
              </a:r>
              <a:r>
                <a:rPr lang="en-US" sz="1200" i="0">
                  <a:latin typeface="Cambria Math" panose="02040503050406030204" pitchFamily="18" charset="0"/>
                </a:rPr>
                <a:t>…</a:t>
              </a:r>
              <a:endParaRPr lang="en-US" sz="1200"/>
            </a:p>
          </xdr:txBody>
        </xdr:sp>
      </mc:Fallback>
    </mc:AlternateContent>
    <xdr:clientData/>
  </xdr:oneCellAnchor>
  <xdr:twoCellAnchor editAs="oneCell">
    <xdr:from>
      <xdr:col>17</xdr:col>
      <xdr:colOff>9525</xdr:colOff>
      <xdr:row>15</xdr:row>
      <xdr:rowOff>285750</xdr:rowOff>
    </xdr:from>
    <xdr:to>
      <xdr:col>22</xdr:col>
      <xdr:colOff>752475</xdr:colOff>
      <xdr:row>26</xdr:row>
      <xdr:rowOff>573882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6925" y="3962400"/>
          <a:ext cx="5553075" cy="542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104775</xdr:colOff>
      <xdr:row>29</xdr:row>
      <xdr:rowOff>352425</xdr:rowOff>
    </xdr:from>
    <xdr:to>
      <xdr:col>22</xdr:col>
      <xdr:colOff>466725</xdr:colOff>
      <xdr:row>39</xdr:row>
      <xdr:rowOff>283368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5" y="10039350"/>
          <a:ext cx="5172075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161925</xdr:colOff>
      <xdr:row>41</xdr:row>
      <xdr:rowOff>466725</xdr:rowOff>
    </xdr:from>
    <xdr:to>
      <xdr:col>22</xdr:col>
      <xdr:colOff>485775</xdr:colOff>
      <xdr:row>47</xdr:row>
      <xdr:rowOff>624569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9325" y="15097125"/>
          <a:ext cx="5133975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209550</xdr:colOff>
      <xdr:row>48</xdr:row>
      <xdr:rowOff>238125</xdr:rowOff>
    </xdr:from>
    <xdr:to>
      <xdr:col>22</xdr:col>
      <xdr:colOff>381000</xdr:colOff>
      <xdr:row>69</xdr:row>
      <xdr:rowOff>172809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6950" y="18002250"/>
          <a:ext cx="4981575" cy="42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238125</xdr:colOff>
      <xdr:row>2</xdr:row>
      <xdr:rowOff>130968</xdr:rowOff>
    </xdr:from>
    <xdr:to>
      <xdr:col>15</xdr:col>
      <xdr:colOff>756032</xdr:colOff>
      <xdr:row>7</xdr:row>
      <xdr:rowOff>173246</xdr:rowOff>
    </xdr:to>
    <xdr:pic>
      <xdr:nvPicPr>
        <xdr:cNvPr id="7" name="Picture 140">
          <a:hlinkClick xmlns:r="http://schemas.openxmlformats.org/officeDocument/2006/relationships" r:id="rId5" tooltip="KE MENU UTAMA SKP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977938" y="511968"/>
          <a:ext cx="1089407" cy="107812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14</xdr:row>
      <xdr:rowOff>19050</xdr:rowOff>
    </xdr:from>
    <xdr:to>
      <xdr:col>7</xdr:col>
      <xdr:colOff>60298</xdr:colOff>
      <xdr:row>19</xdr:row>
      <xdr:rowOff>177385</xdr:rowOff>
    </xdr:to>
    <xdr:pic>
      <xdr:nvPicPr>
        <xdr:cNvPr id="3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00850" y="2638425"/>
          <a:ext cx="1069948" cy="106321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66675</xdr:colOff>
      <xdr:row>6</xdr:row>
      <xdr:rowOff>47625</xdr:rowOff>
    </xdr:from>
    <xdr:to>
      <xdr:col>19</xdr:col>
      <xdr:colOff>442383</xdr:colOff>
      <xdr:row>10</xdr:row>
      <xdr:rowOff>83675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91725" y="1190625"/>
          <a:ext cx="956733" cy="9599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400049</xdr:colOff>
      <xdr:row>9</xdr:row>
      <xdr:rowOff>14430</xdr:rowOff>
    </xdr:from>
    <xdr:to>
      <xdr:col>11</xdr:col>
      <xdr:colOff>742949</xdr:colOff>
      <xdr:row>12</xdr:row>
      <xdr:rowOff>402905</xdr:rowOff>
    </xdr:to>
    <xdr:pic>
      <xdr:nvPicPr>
        <xdr:cNvPr id="4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469716" y="1506680"/>
          <a:ext cx="956733" cy="9599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168276</xdr:colOff>
      <xdr:row>31</xdr:row>
      <xdr:rowOff>10581</xdr:rowOff>
    </xdr:from>
    <xdr:to>
      <xdr:col>4</xdr:col>
      <xdr:colOff>6351</xdr:colOff>
      <xdr:row>51</xdr:row>
      <xdr:rowOff>7010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276" y="6117164"/>
          <a:ext cx="3923242" cy="31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52916</xdr:colOff>
      <xdr:row>31</xdr:row>
      <xdr:rowOff>5289</xdr:rowOff>
    </xdr:from>
    <xdr:to>
      <xdr:col>11</xdr:col>
      <xdr:colOff>387350</xdr:colOff>
      <xdr:row>55</xdr:row>
      <xdr:rowOff>138146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8083" y="6111872"/>
          <a:ext cx="3932767" cy="394285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2</xdr:row>
      <xdr:rowOff>128454</xdr:rowOff>
    </xdr:from>
    <xdr:to>
      <xdr:col>6</xdr:col>
      <xdr:colOff>390525</xdr:colOff>
      <xdr:row>8</xdr:row>
      <xdr:rowOff>27844</xdr:rowOff>
    </xdr:to>
    <xdr:pic>
      <xdr:nvPicPr>
        <xdr:cNvPr id="2" name="Picture 212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594B014B-9D2E-4624-B7D9-B3C3CD103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00850" y="538029"/>
          <a:ext cx="1095375" cy="101381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390525</xdr:colOff>
      <xdr:row>0</xdr:row>
      <xdr:rowOff>285750</xdr:rowOff>
    </xdr:from>
    <xdr:to>
      <xdr:col>9</xdr:col>
      <xdr:colOff>263907</xdr:colOff>
      <xdr:row>6</xdr:row>
      <xdr:rowOff>172189</xdr:rowOff>
    </xdr:to>
    <xdr:pic>
      <xdr:nvPicPr>
        <xdr:cNvPr id="5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34325" y="285750"/>
          <a:ext cx="1092582" cy="108658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319521</xdr:colOff>
      <xdr:row>0</xdr:row>
      <xdr:rowOff>0</xdr:rowOff>
    </xdr:from>
    <xdr:to>
      <xdr:col>25</xdr:col>
      <xdr:colOff>131617</xdr:colOff>
      <xdr:row>9</xdr:row>
      <xdr:rowOff>132619</xdr:rowOff>
    </xdr:to>
    <xdr:pic>
      <xdr:nvPicPr>
        <xdr:cNvPr id="2" name="Picture 212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4196" y="0"/>
          <a:ext cx="812221" cy="75174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1</xdr:row>
      <xdr:rowOff>357648</xdr:rowOff>
    </xdr:from>
    <xdr:to>
      <xdr:col>3</xdr:col>
      <xdr:colOff>1438275</xdr:colOff>
      <xdr:row>4</xdr:row>
      <xdr:rowOff>447675</xdr:rowOff>
    </xdr:to>
    <xdr:pic>
      <xdr:nvPicPr>
        <xdr:cNvPr id="2244" name="Picture 2" descr="Hasil gambar untuk garuda berwarna">
          <a:extLst>
            <a:ext uri="{FF2B5EF4-FFF2-40B4-BE49-F238E27FC236}">
              <a16:creationId xmlns:a16="http://schemas.microsoft.com/office/drawing/2014/main" id="{00000000-0008-0000-0300-0000C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29098"/>
          <a:ext cx="1257300" cy="1328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493568</xdr:colOff>
      <xdr:row>3</xdr:row>
      <xdr:rowOff>115166</xdr:rowOff>
    </xdr:from>
    <xdr:to>
      <xdr:col>7</xdr:col>
      <xdr:colOff>366950</xdr:colOff>
      <xdr:row>5</xdr:row>
      <xdr:rowOff>179982</xdr:rowOff>
    </xdr:to>
    <xdr:pic>
      <xdr:nvPicPr>
        <xdr:cNvPr id="5" name="Picture 140">
          <a:hlinkClick xmlns:r="http://schemas.openxmlformats.org/officeDocument/2006/relationships" r:id="rId2" tooltip="KE MENU UTAMA SKP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485659" y="1370734"/>
          <a:ext cx="1085655" cy="109524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161445</xdr:colOff>
      <xdr:row>2</xdr:row>
      <xdr:rowOff>134696</xdr:rowOff>
    </xdr:from>
    <xdr:to>
      <xdr:col>11</xdr:col>
      <xdr:colOff>608443</xdr:colOff>
      <xdr:row>6</xdr:row>
      <xdr:rowOff>4201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52278" y="621529"/>
          <a:ext cx="1092582" cy="108658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321733</xdr:colOff>
      <xdr:row>11</xdr:row>
      <xdr:rowOff>177800</xdr:rowOff>
    </xdr:from>
    <xdr:to>
      <xdr:col>20</xdr:col>
      <xdr:colOff>559858</xdr:colOff>
      <xdr:row>13</xdr:row>
      <xdr:rowOff>109394</xdr:rowOff>
    </xdr:to>
    <xdr:pic>
      <xdr:nvPicPr>
        <xdr:cNvPr id="2" name="Picture 531">
          <a:hlinkClick xmlns:r="http://schemas.openxmlformats.org/officeDocument/2006/relationships" r:id="rId1" tooltip="TABEL PERMENEG PAN &amp; RB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3066" y="3141133"/>
          <a:ext cx="2079625" cy="42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</xdr:row>
      <xdr:rowOff>190500</xdr:rowOff>
    </xdr:from>
    <xdr:to>
      <xdr:col>2</xdr:col>
      <xdr:colOff>571500</xdr:colOff>
      <xdr:row>9</xdr:row>
      <xdr:rowOff>200025</xdr:rowOff>
    </xdr:to>
    <xdr:sp macro="" textlink="">
      <xdr:nvSpPr>
        <xdr:cNvPr id="4" name="Down Arrow Callout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9050" y="1085850"/>
          <a:ext cx="1457325" cy="1381125"/>
        </a:xfrm>
        <a:prstGeom prst="downArrowCallout">
          <a:avLst>
            <a:gd name="adj1" fmla="val 6982"/>
            <a:gd name="adj2" fmla="val 25000"/>
            <a:gd name="adj3" fmla="val 11487"/>
            <a:gd name="adj4" fmla="val 64977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Dimohon</a:t>
          </a:r>
          <a:r>
            <a:rPr lang="en-US" sz="1100" baseline="0">
              <a:solidFill>
                <a:sysClr val="windowText" lastClr="000000"/>
              </a:solidFill>
            </a:rPr>
            <a:t> jangan menghapus dan mengubah isi daftar tabel angka ini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18</xdr:col>
      <xdr:colOff>169333</xdr:colOff>
      <xdr:row>8</xdr:row>
      <xdr:rowOff>169333</xdr:rowOff>
    </xdr:from>
    <xdr:to>
      <xdr:col>20</xdr:col>
      <xdr:colOff>34249</xdr:colOff>
      <xdr:row>11</xdr:row>
      <xdr:rowOff>112922</xdr:rowOff>
    </xdr:to>
    <xdr:pic>
      <xdr:nvPicPr>
        <xdr:cNvPr id="5" name="Picture 140">
          <a:hlinkClick xmlns:r="http://schemas.openxmlformats.org/officeDocument/2006/relationships" r:id="rId3" tooltip="KE MENU UTAMA SKP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604500" y="2042583"/>
          <a:ext cx="1092582" cy="108658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488155</xdr:colOff>
      <xdr:row>1</xdr:row>
      <xdr:rowOff>130969</xdr:rowOff>
    </xdr:from>
    <xdr:to>
      <xdr:col>30</xdr:col>
      <xdr:colOff>366300</xdr:colOff>
      <xdr:row>6</xdr:row>
      <xdr:rowOff>74558</xdr:rowOff>
    </xdr:to>
    <xdr:pic>
      <xdr:nvPicPr>
        <xdr:cNvPr id="3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751593" y="357188"/>
          <a:ext cx="1092582" cy="108658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534583</xdr:colOff>
      <xdr:row>8</xdr:row>
      <xdr:rowOff>422685</xdr:rowOff>
    </xdr:from>
    <xdr:to>
      <xdr:col>10</xdr:col>
      <xdr:colOff>220258</xdr:colOff>
      <xdr:row>10</xdr:row>
      <xdr:rowOff>451588</xdr:rowOff>
    </xdr:to>
    <xdr:pic>
      <xdr:nvPicPr>
        <xdr:cNvPr id="3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20230" y="2137185"/>
          <a:ext cx="895910" cy="91416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8</xdr:col>
      <xdr:colOff>224118</xdr:colOff>
      <xdr:row>11</xdr:row>
      <xdr:rowOff>134470</xdr:rowOff>
    </xdr:from>
    <xdr:to>
      <xdr:col>10</xdr:col>
      <xdr:colOff>481853</xdr:colOff>
      <xdr:row>14</xdr:row>
      <xdr:rowOff>257735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409765" y="3216088"/>
          <a:ext cx="1467970" cy="1030941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ID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NILAI PERILAKU PNS  DIPEROLEH DARI PEJABAT PENILAI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495300</xdr:colOff>
      <xdr:row>2</xdr:row>
      <xdr:rowOff>57150</xdr:rowOff>
    </xdr:from>
    <xdr:to>
      <xdr:col>17</xdr:col>
      <xdr:colOff>426915</xdr:colOff>
      <xdr:row>7</xdr:row>
      <xdr:rowOff>177168</xdr:rowOff>
    </xdr:to>
    <xdr:pic>
      <xdr:nvPicPr>
        <xdr:cNvPr id="2" name="Picture 140">
          <a:hlinkClick xmlns:r="http://schemas.openxmlformats.org/officeDocument/2006/relationships" r:id="rId1" tooltip="KE MENU UTAMA SKP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44125" y="438150"/>
          <a:ext cx="1093665" cy="107251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LIKASI%20SKP%20TERBARU/SKP%20NEW/01%20SKP%20TERBARU%202021%20o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KP\00.%20SKP%202021%20Jadi\_SKP%202021_Kepala%20MTsN-MAN%20(Bambang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R\Downloads\Kepala%20Madrasah%20-%20SKP%20Jan-Des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LIKASI%20SKP%20TERBARU/SKP%20FETY%202020%20CETA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PLIKASI%20SKP%20TERBARU/APLIKASI%20SKP%202021/SKP%20TU%20MODEL%20TABEL%20%202021%20NADY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PLIKASI%20SKP%20TERBARU/SKP%20NEW/SKP%20GURU%20NEW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iday/Downloads/SKP%20Juli%20%20Desember%202021_Permenpan%20N0.%208%20Th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mus"/>
      <sheetName val="Macro2"/>
      <sheetName val="1. Rencana SKP backup"/>
      <sheetName val="1. Rencana SKP JF (M.I)"/>
      <sheetName val="Sheet2"/>
      <sheetName val="2. Keterkaitan SKP JF (M.I)"/>
      <sheetName val="3. REVIEW"/>
      <sheetName val="4. Verifikasi JF (M.I)"/>
      <sheetName val="5. Penetapan JF (M.I)"/>
      <sheetName val="CAPAIAN SKP"/>
      <sheetName val="PENILAIAN2"/>
      <sheetName val="PERILAKU KERJA"/>
      <sheetName val="HASIL PENILAIAN KINERJA"/>
      <sheetName val="Konversi"/>
      <sheetName val="Sheet1"/>
    </sheetNames>
    <sheetDataSet>
      <sheetData sheetId="0" refreshError="1"/>
      <sheetData sheetId="1" refreshError="1"/>
      <sheetData sheetId="2" refreshError="1"/>
      <sheetData sheetId="3">
        <row r="8">
          <cell r="D8" t="str">
            <v>Dra. Fety Risdiyati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7">
          <cell r="C7" t="str">
            <v>Dra. Fety Risdiyati</v>
          </cell>
        </row>
        <row r="35">
          <cell r="G35" t="str">
            <v>Jumlah Laporan Hasil Diklat Fungsional (antara 30 - 80 JP)</v>
          </cell>
        </row>
        <row r="36">
          <cell r="G36" t="str">
            <v>Persentase tercapainya perencanaan, pelaksanaan   evaluasi Diklat  Fungsional</v>
          </cell>
        </row>
        <row r="37">
          <cell r="G37" t="str">
            <v>Ketepatan waktu pelaksanaan</v>
          </cell>
        </row>
        <row r="38">
          <cell r="G38" t="str">
            <v>Jumlah laporan kegiatan</v>
          </cell>
        </row>
        <row r="39">
          <cell r="G39" t="str">
            <v>Persentase tercapainya perencanaan, pelaksanaan   evaluasi kegiatan kolektif guru</v>
          </cell>
        </row>
        <row r="40">
          <cell r="G40" t="str">
            <v>Ketepatan waktu pelaksanaan</v>
          </cell>
        </row>
        <row r="41">
          <cell r="G41" t="str">
            <v>Jumlah laporan karya ilmiah</v>
          </cell>
        </row>
        <row r="42">
          <cell r="G42" t="str">
            <v>Persentase tercapainya perencanaan, pelaksanaan   evaluasi karya ilmiah</v>
          </cell>
        </row>
        <row r="43">
          <cell r="G43" t="str">
            <v>Ketepatan waktu pelaksanaan</v>
          </cell>
        </row>
        <row r="44">
          <cell r="G44" t="str">
            <v>Jumlah laporan karya inovatif</v>
          </cell>
        </row>
        <row r="45">
          <cell r="G45" t="str">
            <v>Persentase tercapainya perencanaan, pelaksanaan   evaluasi karya inovatif</v>
          </cell>
        </row>
        <row r="46">
          <cell r="G46" t="str">
            <v>Ketepatan waktu pelaksanaan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1">
          <cell r="A1">
            <v>1</v>
          </cell>
          <cell r="B1">
            <v>1</v>
          </cell>
          <cell r="D1">
            <v>49</v>
          </cell>
          <cell r="Z1" t="str">
            <v>100ada</v>
          </cell>
          <cell r="AA1">
            <v>100</v>
          </cell>
          <cell r="AB1" t="str">
            <v>ada</v>
          </cell>
          <cell r="AC1" t="str">
            <v>Baik</v>
          </cell>
        </row>
        <row r="2">
          <cell r="A2">
            <v>2</v>
          </cell>
          <cell r="B2">
            <v>2</v>
          </cell>
          <cell r="D2">
            <v>49</v>
          </cell>
          <cell r="Z2" t="str">
            <v>100tidak ada</v>
          </cell>
          <cell r="AA2">
            <v>100</v>
          </cell>
          <cell r="AB2" t="str">
            <v>tidak ada</v>
          </cell>
          <cell r="AC2" t="str">
            <v>Baik</v>
          </cell>
        </row>
        <row r="3">
          <cell r="A3">
            <v>3</v>
          </cell>
          <cell r="B3">
            <v>3</v>
          </cell>
          <cell r="D3">
            <v>49</v>
          </cell>
          <cell r="Z3" t="str">
            <v>101ada</v>
          </cell>
          <cell r="AA3">
            <v>101</v>
          </cell>
          <cell r="AB3" t="str">
            <v>ada</v>
          </cell>
          <cell r="AC3" t="str">
            <v>Baik</v>
          </cell>
        </row>
        <row r="4">
          <cell r="A4">
            <v>4</v>
          </cell>
          <cell r="B4">
            <v>4</v>
          </cell>
          <cell r="D4">
            <v>49</v>
          </cell>
          <cell r="Z4" t="str">
            <v>101tidak ada</v>
          </cell>
          <cell r="AA4">
            <v>101</v>
          </cell>
          <cell r="AB4" t="str">
            <v>tidak ada</v>
          </cell>
          <cell r="AC4" t="str">
            <v>Baik</v>
          </cell>
        </row>
        <row r="5">
          <cell r="A5">
            <v>5</v>
          </cell>
          <cell r="B5">
            <v>5</v>
          </cell>
          <cell r="D5">
            <v>49</v>
          </cell>
          <cell r="Z5" t="str">
            <v>102ada</v>
          </cell>
          <cell r="AA5">
            <v>102</v>
          </cell>
          <cell r="AB5" t="str">
            <v>ada</v>
          </cell>
          <cell r="AC5" t="str">
            <v>Baik</v>
          </cell>
        </row>
        <row r="6">
          <cell r="A6">
            <v>6</v>
          </cell>
          <cell r="B6">
            <v>6</v>
          </cell>
          <cell r="D6">
            <v>49</v>
          </cell>
          <cell r="Z6" t="str">
            <v>102tidak ada</v>
          </cell>
          <cell r="AA6">
            <v>102</v>
          </cell>
          <cell r="AB6" t="str">
            <v>tidak ada</v>
          </cell>
          <cell r="AC6" t="str">
            <v>Baik</v>
          </cell>
        </row>
        <row r="7">
          <cell r="A7">
            <v>7</v>
          </cell>
          <cell r="B7">
            <v>7</v>
          </cell>
          <cell r="D7">
            <v>49</v>
          </cell>
          <cell r="Z7" t="str">
            <v>103ada</v>
          </cell>
          <cell r="AA7">
            <v>103</v>
          </cell>
          <cell r="AB7" t="str">
            <v>ada</v>
          </cell>
          <cell r="AC7" t="str">
            <v>Baik</v>
          </cell>
        </row>
        <row r="8">
          <cell r="A8">
            <v>8</v>
          </cell>
          <cell r="B8">
            <v>8</v>
          </cell>
          <cell r="D8">
            <v>49</v>
          </cell>
          <cell r="Z8" t="str">
            <v>103tidak ada</v>
          </cell>
          <cell r="AA8">
            <v>103</v>
          </cell>
          <cell r="AB8" t="str">
            <v>tidak ada</v>
          </cell>
          <cell r="AC8" t="str">
            <v>Baik</v>
          </cell>
        </row>
        <row r="9">
          <cell r="A9">
            <v>9</v>
          </cell>
          <cell r="B9">
            <v>9</v>
          </cell>
          <cell r="D9">
            <v>49</v>
          </cell>
          <cell r="Z9" t="str">
            <v>104ada</v>
          </cell>
          <cell r="AA9">
            <v>104</v>
          </cell>
          <cell r="AB9" t="str">
            <v>ada</v>
          </cell>
          <cell r="AC9" t="str">
            <v>Baik</v>
          </cell>
        </row>
        <row r="10">
          <cell r="A10">
            <v>10</v>
          </cell>
          <cell r="B10">
            <v>10</v>
          </cell>
          <cell r="D10">
            <v>49</v>
          </cell>
          <cell r="Z10" t="str">
            <v>104tidak ada</v>
          </cell>
          <cell r="AA10">
            <v>104</v>
          </cell>
          <cell r="AB10" t="str">
            <v>tidak ada</v>
          </cell>
          <cell r="AC10" t="str">
            <v>Baik</v>
          </cell>
        </row>
        <row r="11">
          <cell r="A11">
            <v>11</v>
          </cell>
          <cell r="B11">
            <v>11</v>
          </cell>
          <cell r="D11">
            <v>49</v>
          </cell>
          <cell r="Z11" t="str">
            <v>105ada</v>
          </cell>
          <cell r="AA11">
            <v>105</v>
          </cell>
          <cell r="AB11" t="str">
            <v>ada</v>
          </cell>
          <cell r="AC11" t="str">
            <v>Baik</v>
          </cell>
        </row>
        <row r="12">
          <cell r="A12">
            <v>12</v>
          </cell>
          <cell r="B12">
            <v>12</v>
          </cell>
          <cell r="D12">
            <v>49</v>
          </cell>
          <cell r="Z12" t="str">
            <v>105tidak ada</v>
          </cell>
          <cell r="AA12">
            <v>105</v>
          </cell>
          <cell r="AB12" t="str">
            <v>tidak ada</v>
          </cell>
          <cell r="AC12" t="str">
            <v>Baik</v>
          </cell>
        </row>
        <row r="13">
          <cell r="A13">
            <v>13</v>
          </cell>
          <cell r="B13">
            <v>13</v>
          </cell>
          <cell r="D13">
            <v>49</v>
          </cell>
          <cell r="Z13" t="str">
            <v>106ada</v>
          </cell>
          <cell r="AA13">
            <v>106</v>
          </cell>
          <cell r="AB13" t="str">
            <v>ada</v>
          </cell>
          <cell r="AC13" t="str">
            <v>Baik</v>
          </cell>
        </row>
        <row r="14">
          <cell r="A14">
            <v>14</v>
          </cell>
          <cell r="B14">
            <v>14</v>
          </cell>
          <cell r="D14">
            <v>49</v>
          </cell>
          <cell r="Z14" t="str">
            <v>106tidak ada</v>
          </cell>
          <cell r="AA14">
            <v>106</v>
          </cell>
          <cell r="AB14" t="str">
            <v>tidak ada</v>
          </cell>
          <cell r="AC14" t="str">
            <v>Baik</v>
          </cell>
        </row>
        <row r="15">
          <cell r="A15">
            <v>15</v>
          </cell>
          <cell r="B15">
            <v>15</v>
          </cell>
          <cell r="D15">
            <v>49</v>
          </cell>
          <cell r="Z15" t="str">
            <v>107ada</v>
          </cell>
          <cell r="AA15">
            <v>107</v>
          </cell>
          <cell r="AB15" t="str">
            <v>ada</v>
          </cell>
          <cell r="AC15" t="str">
            <v>Baik</v>
          </cell>
        </row>
        <row r="16">
          <cell r="A16">
            <v>16</v>
          </cell>
          <cell r="B16">
            <v>16</v>
          </cell>
          <cell r="D16">
            <v>49</v>
          </cell>
          <cell r="Z16" t="str">
            <v>107tidak ada</v>
          </cell>
          <cell r="AA16">
            <v>107</v>
          </cell>
          <cell r="AB16" t="str">
            <v>tidak ada</v>
          </cell>
          <cell r="AC16" t="str">
            <v>Baik</v>
          </cell>
        </row>
        <row r="17">
          <cell r="A17">
            <v>17</v>
          </cell>
          <cell r="B17">
            <v>17</v>
          </cell>
          <cell r="D17">
            <v>49</v>
          </cell>
          <cell r="Z17" t="str">
            <v>108ada</v>
          </cell>
          <cell r="AA17">
            <v>108</v>
          </cell>
          <cell r="AB17" t="str">
            <v>ada</v>
          </cell>
          <cell r="AC17" t="str">
            <v>Baik</v>
          </cell>
        </row>
        <row r="18">
          <cell r="A18">
            <v>18</v>
          </cell>
          <cell r="B18">
            <v>18</v>
          </cell>
          <cell r="D18">
            <v>49</v>
          </cell>
          <cell r="Z18" t="str">
            <v>108tidak ada</v>
          </cell>
          <cell r="AA18">
            <v>108</v>
          </cell>
          <cell r="AB18" t="str">
            <v>tidak ada</v>
          </cell>
          <cell r="AC18" t="str">
            <v>Baik</v>
          </cell>
        </row>
        <row r="19">
          <cell r="A19">
            <v>19</v>
          </cell>
          <cell r="B19">
            <v>19</v>
          </cell>
          <cell r="D19">
            <v>49</v>
          </cell>
          <cell r="Z19" t="str">
            <v>109ada</v>
          </cell>
          <cell r="AA19">
            <v>109</v>
          </cell>
          <cell r="AB19" t="str">
            <v>ada</v>
          </cell>
          <cell r="AC19" t="str">
            <v>Baik</v>
          </cell>
        </row>
        <row r="20">
          <cell r="A20">
            <v>20</v>
          </cell>
          <cell r="B20">
            <v>20</v>
          </cell>
          <cell r="D20">
            <v>49</v>
          </cell>
          <cell r="Z20" t="str">
            <v>109tidak ada</v>
          </cell>
          <cell r="AA20">
            <v>109</v>
          </cell>
          <cell r="AB20" t="str">
            <v>tidak ada</v>
          </cell>
          <cell r="AC20" t="str">
            <v>Baik</v>
          </cell>
        </row>
        <row r="21">
          <cell r="A21">
            <v>21</v>
          </cell>
          <cell r="B21">
            <v>21</v>
          </cell>
          <cell r="D21">
            <v>49</v>
          </cell>
          <cell r="Z21" t="str">
            <v>10ada</v>
          </cell>
          <cell r="AA21">
            <v>10</v>
          </cell>
          <cell r="AB21" t="str">
            <v>ada</v>
          </cell>
          <cell r="AC21" t="str">
            <v>Sangat Kurang</v>
          </cell>
        </row>
        <row r="22">
          <cell r="A22">
            <v>22</v>
          </cell>
          <cell r="B22">
            <v>22</v>
          </cell>
          <cell r="D22">
            <v>49</v>
          </cell>
          <cell r="Z22" t="str">
            <v>10tidak ada</v>
          </cell>
          <cell r="AA22">
            <v>10</v>
          </cell>
          <cell r="AB22" t="str">
            <v>tidak ada</v>
          </cell>
          <cell r="AC22" t="str">
            <v>Sangat Kurang</v>
          </cell>
        </row>
        <row r="23">
          <cell r="A23">
            <v>23</v>
          </cell>
          <cell r="B23">
            <v>23</v>
          </cell>
          <cell r="D23">
            <v>49</v>
          </cell>
          <cell r="Z23" t="str">
            <v>110ada</v>
          </cell>
          <cell r="AA23">
            <v>110</v>
          </cell>
          <cell r="AB23" t="str">
            <v>ada</v>
          </cell>
          <cell r="AC23" t="str">
            <v>Sangat Baik</v>
          </cell>
        </row>
        <row r="24">
          <cell r="A24">
            <v>24</v>
          </cell>
          <cell r="B24">
            <v>24</v>
          </cell>
          <cell r="D24">
            <v>49</v>
          </cell>
          <cell r="Z24" t="str">
            <v>110tidak ada</v>
          </cell>
          <cell r="AA24">
            <v>110</v>
          </cell>
          <cell r="AB24" t="str">
            <v>tidak ada</v>
          </cell>
          <cell r="AC24" t="str">
            <v>Baik</v>
          </cell>
        </row>
        <row r="25">
          <cell r="A25">
            <v>25</v>
          </cell>
          <cell r="B25">
            <v>25</v>
          </cell>
          <cell r="D25">
            <v>49</v>
          </cell>
          <cell r="Z25" t="str">
            <v>111ada</v>
          </cell>
          <cell r="AA25">
            <v>111</v>
          </cell>
          <cell r="AB25" t="str">
            <v>ada</v>
          </cell>
          <cell r="AC25" t="str">
            <v>Sangat Baik</v>
          </cell>
        </row>
        <row r="26">
          <cell r="A26">
            <v>26</v>
          </cell>
          <cell r="B26">
            <v>26</v>
          </cell>
          <cell r="D26">
            <v>49</v>
          </cell>
          <cell r="Z26" t="str">
            <v>111tidak ada</v>
          </cell>
          <cell r="AA26">
            <v>111</v>
          </cell>
          <cell r="AB26" t="str">
            <v>tidak ada</v>
          </cell>
          <cell r="AC26" t="str">
            <v>Baik</v>
          </cell>
        </row>
        <row r="27">
          <cell r="A27">
            <v>27</v>
          </cell>
          <cell r="B27">
            <v>27</v>
          </cell>
          <cell r="D27">
            <v>49</v>
          </cell>
          <cell r="Z27" t="str">
            <v>112ada</v>
          </cell>
          <cell r="AA27">
            <v>112</v>
          </cell>
          <cell r="AB27" t="str">
            <v>ada</v>
          </cell>
          <cell r="AC27" t="str">
            <v>Sangat Baik</v>
          </cell>
        </row>
        <row r="28">
          <cell r="A28">
            <v>28</v>
          </cell>
          <cell r="B28">
            <v>28</v>
          </cell>
          <cell r="D28">
            <v>49</v>
          </cell>
          <cell r="Z28" t="str">
            <v>112tidak ada</v>
          </cell>
          <cell r="AA28">
            <v>112</v>
          </cell>
          <cell r="AB28" t="str">
            <v>tidak ada</v>
          </cell>
          <cell r="AC28" t="str">
            <v>Baik</v>
          </cell>
        </row>
        <row r="29">
          <cell r="A29">
            <v>29</v>
          </cell>
          <cell r="B29">
            <v>29</v>
          </cell>
          <cell r="D29">
            <v>49</v>
          </cell>
          <cell r="Z29" t="str">
            <v>113ada</v>
          </cell>
          <cell r="AA29">
            <v>113</v>
          </cell>
          <cell r="AB29" t="str">
            <v>ada</v>
          </cell>
          <cell r="AC29" t="str">
            <v>Sangat Baik</v>
          </cell>
        </row>
        <row r="30">
          <cell r="A30">
            <v>30</v>
          </cell>
          <cell r="B30">
            <v>30</v>
          </cell>
          <cell r="D30">
            <v>49</v>
          </cell>
          <cell r="Z30" t="str">
            <v>113tidak ada</v>
          </cell>
          <cell r="AA30">
            <v>113</v>
          </cell>
          <cell r="AB30" t="str">
            <v>tidak ada</v>
          </cell>
          <cell r="AC30" t="str">
            <v>Baik</v>
          </cell>
        </row>
        <row r="31">
          <cell r="A31">
            <v>31</v>
          </cell>
          <cell r="B31">
            <v>31</v>
          </cell>
          <cell r="D31">
            <v>49</v>
          </cell>
          <cell r="Z31" t="str">
            <v>114ada</v>
          </cell>
          <cell r="AA31">
            <v>114</v>
          </cell>
          <cell r="AB31" t="str">
            <v>ada</v>
          </cell>
          <cell r="AC31" t="str">
            <v>Sangat Baik</v>
          </cell>
        </row>
        <row r="32">
          <cell r="A32">
            <v>32</v>
          </cell>
          <cell r="B32">
            <v>32</v>
          </cell>
          <cell r="D32">
            <v>49</v>
          </cell>
          <cell r="Z32" t="str">
            <v>114tidak ada</v>
          </cell>
          <cell r="AA32">
            <v>114</v>
          </cell>
          <cell r="AB32" t="str">
            <v>tidak ada</v>
          </cell>
          <cell r="AC32" t="str">
            <v>Baik</v>
          </cell>
        </row>
        <row r="33">
          <cell r="A33">
            <v>33</v>
          </cell>
          <cell r="B33">
            <v>33</v>
          </cell>
          <cell r="D33">
            <v>49</v>
          </cell>
          <cell r="Z33" t="str">
            <v>115ada</v>
          </cell>
          <cell r="AA33">
            <v>115</v>
          </cell>
          <cell r="AB33" t="str">
            <v>ada</v>
          </cell>
          <cell r="AC33" t="str">
            <v>Sangat Baik</v>
          </cell>
        </row>
        <row r="34">
          <cell r="A34">
            <v>34</v>
          </cell>
          <cell r="B34">
            <v>34</v>
          </cell>
          <cell r="D34">
            <v>49</v>
          </cell>
          <cell r="Z34" t="str">
            <v>115tidak ada</v>
          </cell>
          <cell r="AA34">
            <v>115</v>
          </cell>
          <cell r="AB34" t="str">
            <v>tidak ada</v>
          </cell>
          <cell r="AC34" t="str">
            <v>Baik</v>
          </cell>
        </row>
        <row r="35">
          <cell r="A35">
            <v>35</v>
          </cell>
          <cell r="B35">
            <v>35</v>
          </cell>
          <cell r="D35">
            <v>49</v>
          </cell>
          <cell r="Z35" t="str">
            <v>116ada</v>
          </cell>
          <cell r="AA35">
            <v>116</v>
          </cell>
          <cell r="AB35" t="str">
            <v>ada</v>
          </cell>
          <cell r="AC35" t="str">
            <v>Sangat Baik</v>
          </cell>
        </row>
        <row r="36">
          <cell r="A36">
            <v>36</v>
          </cell>
          <cell r="B36">
            <v>36</v>
          </cell>
          <cell r="D36">
            <v>49</v>
          </cell>
          <cell r="Z36" t="str">
            <v>116tidak ada</v>
          </cell>
          <cell r="AA36">
            <v>116</v>
          </cell>
          <cell r="AB36" t="str">
            <v>tidak ada</v>
          </cell>
          <cell r="AC36" t="str">
            <v>Baik</v>
          </cell>
        </row>
        <row r="37">
          <cell r="A37">
            <v>37</v>
          </cell>
          <cell r="B37">
            <v>37</v>
          </cell>
          <cell r="D37">
            <v>49</v>
          </cell>
          <cell r="Z37" t="str">
            <v>117ada</v>
          </cell>
          <cell r="AA37">
            <v>117</v>
          </cell>
          <cell r="AB37" t="str">
            <v>ada</v>
          </cell>
          <cell r="AC37" t="str">
            <v>Sangat Baik</v>
          </cell>
        </row>
        <row r="38">
          <cell r="A38">
            <v>38</v>
          </cell>
          <cell r="B38">
            <v>38</v>
          </cell>
          <cell r="D38">
            <v>49</v>
          </cell>
          <cell r="Z38" t="str">
            <v>117tidak ada</v>
          </cell>
          <cell r="AA38">
            <v>117</v>
          </cell>
          <cell r="AB38" t="str">
            <v>tidak ada</v>
          </cell>
          <cell r="AC38" t="str">
            <v>Baik</v>
          </cell>
        </row>
        <row r="39">
          <cell r="A39">
            <v>39</v>
          </cell>
          <cell r="B39">
            <v>39</v>
          </cell>
          <cell r="D39">
            <v>49</v>
          </cell>
          <cell r="Z39" t="str">
            <v>118ada</v>
          </cell>
          <cell r="AA39">
            <v>118</v>
          </cell>
          <cell r="AB39" t="str">
            <v>ada</v>
          </cell>
          <cell r="AC39" t="str">
            <v>Sangat Baik</v>
          </cell>
        </row>
        <row r="40">
          <cell r="A40">
            <v>40</v>
          </cell>
          <cell r="B40">
            <v>40</v>
          </cell>
          <cell r="D40">
            <v>49</v>
          </cell>
          <cell r="Z40" t="str">
            <v>118tidak ada</v>
          </cell>
          <cell r="AA40">
            <v>118</v>
          </cell>
          <cell r="AB40" t="str">
            <v>tidak ada</v>
          </cell>
          <cell r="AC40" t="str">
            <v>Baik</v>
          </cell>
        </row>
        <row r="41">
          <cell r="A41">
            <v>41</v>
          </cell>
          <cell r="B41">
            <v>41</v>
          </cell>
          <cell r="D41">
            <v>49</v>
          </cell>
          <cell r="Z41" t="str">
            <v>119ada</v>
          </cell>
          <cell r="AA41">
            <v>119</v>
          </cell>
          <cell r="AB41" t="str">
            <v>ada</v>
          </cell>
          <cell r="AC41" t="str">
            <v>Sangat Baik</v>
          </cell>
        </row>
        <row r="42">
          <cell r="A42">
            <v>42</v>
          </cell>
          <cell r="B42">
            <v>42</v>
          </cell>
          <cell r="D42">
            <v>49</v>
          </cell>
          <cell r="Z42" t="str">
            <v>119tidak ada</v>
          </cell>
          <cell r="AA42">
            <v>119</v>
          </cell>
          <cell r="AB42" t="str">
            <v>tidak ada</v>
          </cell>
          <cell r="AC42" t="str">
            <v>Baik</v>
          </cell>
        </row>
        <row r="43">
          <cell r="A43">
            <v>43</v>
          </cell>
          <cell r="B43">
            <v>43</v>
          </cell>
          <cell r="D43">
            <v>49</v>
          </cell>
          <cell r="Z43" t="str">
            <v>11ada</v>
          </cell>
          <cell r="AA43">
            <v>11</v>
          </cell>
          <cell r="AB43" t="str">
            <v>ada</v>
          </cell>
          <cell r="AC43" t="str">
            <v>Sangat Kurang</v>
          </cell>
        </row>
        <row r="44">
          <cell r="A44">
            <v>44</v>
          </cell>
          <cell r="B44">
            <v>44</v>
          </cell>
          <cell r="D44">
            <v>49</v>
          </cell>
          <cell r="Z44" t="str">
            <v>11tidak ada</v>
          </cell>
          <cell r="AA44">
            <v>11</v>
          </cell>
          <cell r="AB44" t="str">
            <v>tidak ada</v>
          </cell>
          <cell r="AC44" t="str">
            <v>Sangat Kurang</v>
          </cell>
        </row>
        <row r="45">
          <cell r="A45">
            <v>45</v>
          </cell>
          <cell r="B45">
            <v>45</v>
          </cell>
          <cell r="D45">
            <v>49</v>
          </cell>
          <cell r="Z45" t="str">
            <v>120ada</v>
          </cell>
          <cell r="AA45">
            <v>120</v>
          </cell>
          <cell r="AB45" t="str">
            <v>ada</v>
          </cell>
          <cell r="AC45" t="str">
            <v>Sangat Baik</v>
          </cell>
        </row>
        <row r="46">
          <cell r="A46">
            <v>46</v>
          </cell>
          <cell r="B46">
            <v>46</v>
          </cell>
          <cell r="D46">
            <v>49</v>
          </cell>
          <cell r="Z46" t="str">
            <v>12ada</v>
          </cell>
          <cell r="AA46">
            <v>12</v>
          </cell>
          <cell r="AB46" t="str">
            <v>ada</v>
          </cell>
          <cell r="AC46" t="str">
            <v>Sangat Kurang</v>
          </cell>
        </row>
        <row r="47">
          <cell r="A47">
            <v>47</v>
          </cell>
          <cell r="B47">
            <v>47</v>
          </cell>
          <cell r="D47">
            <v>49</v>
          </cell>
          <cell r="Z47" t="str">
            <v>12tidak ada</v>
          </cell>
          <cell r="AA47">
            <v>12</v>
          </cell>
          <cell r="AB47" t="str">
            <v>tidak ada</v>
          </cell>
          <cell r="AC47" t="str">
            <v>Sangat Kurang</v>
          </cell>
        </row>
        <row r="48">
          <cell r="A48">
            <v>48</v>
          </cell>
          <cell r="B48">
            <v>48</v>
          </cell>
          <cell r="D48">
            <v>49</v>
          </cell>
          <cell r="Z48" t="str">
            <v>13ada</v>
          </cell>
          <cell r="AA48">
            <v>13</v>
          </cell>
          <cell r="AB48" t="str">
            <v>ada</v>
          </cell>
          <cell r="AC48" t="str">
            <v>Sangat Kurang</v>
          </cell>
        </row>
        <row r="49">
          <cell r="A49">
            <v>49</v>
          </cell>
          <cell r="B49">
            <v>49</v>
          </cell>
          <cell r="D49">
            <v>49</v>
          </cell>
          <cell r="Z49" t="str">
            <v>13tidak ada</v>
          </cell>
          <cell r="AA49">
            <v>13</v>
          </cell>
          <cell r="AB49" t="str">
            <v>tidak ada</v>
          </cell>
          <cell r="AC49" t="str">
            <v>Sangat Kurang</v>
          </cell>
        </row>
        <row r="50">
          <cell r="A50">
            <v>50</v>
          </cell>
          <cell r="B50">
            <v>50</v>
          </cell>
          <cell r="C50">
            <v>-1</v>
          </cell>
          <cell r="D50">
            <v>49</v>
          </cell>
          <cell r="Z50" t="str">
            <v>14ada</v>
          </cell>
          <cell r="AA50">
            <v>14</v>
          </cell>
          <cell r="AB50" t="str">
            <v>ada</v>
          </cell>
          <cell r="AC50" t="str">
            <v>Sangat Kurang</v>
          </cell>
        </row>
        <row r="51">
          <cell r="A51">
            <v>51</v>
          </cell>
          <cell r="B51">
            <v>50</v>
          </cell>
          <cell r="C51">
            <v>2.1</v>
          </cell>
          <cell r="D51">
            <v>51</v>
          </cell>
          <cell r="Z51" t="str">
            <v>14tidak ada</v>
          </cell>
          <cell r="AA51">
            <v>14</v>
          </cell>
          <cell r="AB51" t="str">
            <v>tidak ada</v>
          </cell>
          <cell r="AC51" t="str">
            <v>Sangat Kurang</v>
          </cell>
        </row>
        <row r="52">
          <cell r="A52">
            <v>52</v>
          </cell>
          <cell r="B52">
            <v>50</v>
          </cell>
          <cell r="C52">
            <v>2.1</v>
          </cell>
          <cell r="D52">
            <v>51</v>
          </cell>
          <cell r="Z52" t="str">
            <v>15ada</v>
          </cell>
          <cell r="AA52">
            <v>15</v>
          </cell>
          <cell r="AB52" t="str">
            <v>ada</v>
          </cell>
          <cell r="AC52" t="str">
            <v>Sangat Kurang</v>
          </cell>
        </row>
        <row r="53">
          <cell r="A53">
            <v>53</v>
          </cell>
          <cell r="B53">
            <v>50</v>
          </cell>
          <cell r="C53">
            <v>2.1</v>
          </cell>
          <cell r="D53">
            <v>51</v>
          </cell>
          <cell r="Z53" t="str">
            <v>15tidak ada</v>
          </cell>
          <cell r="AA53">
            <v>15</v>
          </cell>
          <cell r="AB53" t="str">
            <v>tidak ada</v>
          </cell>
          <cell r="AC53" t="str">
            <v>Sangat Kurang</v>
          </cell>
        </row>
        <row r="54">
          <cell r="A54">
            <v>54</v>
          </cell>
          <cell r="B54">
            <v>50</v>
          </cell>
          <cell r="C54">
            <v>2.1</v>
          </cell>
          <cell r="D54">
            <v>51</v>
          </cell>
          <cell r="Z54" t="str">
            <v>16ada</v>
          </cell>
          <cell r="AA54">
            <v>16</v>
          </cell>
          <cell r="AB54" t="str">
            <v>ada</v>
          </cell>
          <cell r="AC54" t="str">
            <v>Sangat Kurang</v>
          </cell>
        </row>
        <row r="55">
          <cell r="A55">
            <v>55</v>
          </cell>
          <cell r="B55">
            <v>50</v>
          </cell>
          <cell r="C55">
            <v>2.1</v>
          </cell>
          <cell r="D55">
            <v>51</v>
          </cell>
          <cell r="Z55" t="str">
            <v>16tidak ada</v>
          </cell>
          <cell r="AA55">
            <v>16</v>
          </cell>
          <cell r="AB55" t="str">
            <v>tidak ada</v>
          </cell>
          <cell r="AC55" t="str">
            <v>Sangat Kurang</v>
          </cell>
        </row>
        <row r="56">
          <cell r="A56">
            <v>56</v>
          </cell>
          <cell r="B56">
            <v>50</v>
          </cell>
          <cell r="C56">
            <v>2.1</v>
          </cell>
          <cell r="D56">
            <v>51</v>
          </cell>
          <cell r="Z56" t="str">
            <v>17ada</v>
          </cell>
          <cell r="AA56">
            <v>17</v>
          </cell>
          <cell r="AB56" t="str">
            <v>ada</v>
          </cell>
          <cell r="AC56" t="str">
            <v>Sangat Kurang</v>
          </cell>
        </row>
        <row r="57">
          <cell r="A57">
            <v>57</v>
          </cell>
          <cell r="B57">
            <v>50</v>
          </cell>
          <cell r="C57">
            <v>2.1</v>
          </cell>
          <cell r="D57">
            <v>51</v>
          </cell>
          <cell r="Z57" t="str">
            <v>17tidak ada</v>
          </cell>
          <cell r="AA57">
            <v>17</v>
          </cell>
          <cell r="AB57" t="str">
            <v>tidak ada</v>
          </cell>
          <cell r="AC57" t="str">
            <v>Sangat Kurang</v>
          </cell>
        </row>
        <row r="58">
          <cell r="A58">
            <v>58</v>
          </cell>
          <cell r="B58">
            <v>50</v>
          </cell>
          <cell r="C58">
            <v>2.1</v>
          </cell>
          <cell r="D58">
            <v>51</v>
          </cell>
          <cell r="Z58" t="str">
            <v>18ada</v>
          </cell>
          <cell r="AA58">
            <v>18</v>
          </cell>
          <cell r="AB58" t="str">
            <v>ada</v>
          </cell>
          <cell r="AC58" t="str">
            <v>Sangat Kurang</v>
          </cell>
        </row>
        <row r="59">
          <cell r="A59">
            <v>59</v>
          </cell>
          <cell r="B59">
            <v>50</v>
          </cell>
          <cell r="C59">
            <v>2.1</v>
          </cell>
          <cell r="D59">
            <v>51</v>
          </cell>
          <cell r="Z59" t="str">
            <v>18tidak ada</v>
          </cell>
          <cell r="AA59">
            <v>18</v>
          </cell>
          <cell r="AB59" t="str">
            <v>tidak ada</v>
          </cell>
          <cell r="AC59" t="str">
            <v>Sangat Kurang</v>
          </cell>
        </row>
        <row r="60">
          <cell r="A60">
            <v>60</v>
          </cell>
          <cell r="B60">
            <v>50</v>
          </cell>
          <cell r="C60">
            <v>2.1</v>
          </cell>
          <cell r="D60">
            <v>51</v>
          </cell>
          <cell r="Z60" t="str">
            <v>19ada</v>
          </cell>
          <cell r="AA60">
            <v>19</v>
          </cell>
          <cell r="AB60" t="str">
            <v>ada</v>
          </cell>
          <cell r="AC60" t="str">
            <v>Sangat Kurang</v>
          </cell>
        </row>
        <row r="61">
          <cell r="A61">
            <v>61</v>
          </cell>
          <cell r="B61">
            <v>70</v>
          </cell>
          <cell r="C61">
            <v>1.36</v>
          </cell>
          <cell r="D61">
            <v>61</v>
          </cell>
          <cell r="Z61" t="str">
            <v>19tidak ada</v>
          </cell>
          <cell r="AA61">
            <v>19</v>
          </cell>
          <cell r="AB61" t="str">
            <v>tidak ada</v>
          </cell>
          <cell r="AC61" t="str">
            <v>Sangat Kurang</v>
          </cell>
        </row>
        <row r="62">
          <cell r="A62">
            <v>62</v>
          </cell>
          <cell r="B62">
            <v>70</v>
          </cell>
          <cell r="C62">
            <v>1.36</v>
          </cell>
          <cell r="D62">
            <v>61</v>
          </cell>
          <cell r="Z62" t="str">
            <v>1ada</v>
          </cell>
          <cell r="AA62">
            <v>1</v>
          </cell>
          <cell r="AB62" t="str">
            <v>ada</v>
          </cell>
          <cell r="AC62" t="str">
            <v>Sangat Kurang</v>
          </cell>
        </row>
        <row r="63">
          <cell r="A63">
            <v>63</v>
          </cell>
          <cell r="B63">
            <v>70</v>
          </cell>
          <cell r="C63">
            <v>1.36</v>
          </cell>
          <cell r="D63">
            <v>61</v>
          </cell>
          <cell r="Z63" t="str">
            <v>1tidak ada</v>
          </cell>
          <cell r="AA63">
            <v>1</v>
          </cell>
          <cell r="AB63" t="str">
            <v>tidak ada</v>
          </cell>
          <cell r="AC63" t="str">
            <v>Sangat Kurang</v>
          </cell>
        </row>
        <row r="64">
          <cell r="A64">
            <v>64</v>
          </cell>
          <cell r="B64">
            <v>70</v>
          </cell>
          <cell r="C64">
            <v>1.36</v>
          </cell>
          <cell r="D64">
            <v>61</v>
          </cell>
          <cell r="Z64" t="str">
            <v>20ada</v>
          </cell>
          <cell r="AA64">
            <v>20</v>
          </cell>
          <cell r="AB64" t="str">
            <v>ada</v>
          </cell>
          <cell r="AC64" t="str">
            <v>Sangat Kurang</v>
          </cell>
        </row>
        <row r="65">
          <cell r="A65">
            <v>65</v>
          </cell>
          <cell r="B65">
            <v>70</v>
          </cell>
          <cell r="C65">
            <v>1.36</v>
          </cell>
          <cell r="D65">
            <v>61</v>
          </cell>
          <cell r="Z65" t="str">
            <v>20tidak ada</v>
          </cell>
          <cell r="AA65">
            <v>20</v>
          </cell>
          <cell r="AB65" t="str">
            <v>tidak ada</v>
          </cell>
          <cell r="AC65" t="str">
            <v>Sangat Kurang</v>
          </cell>
        </row>
        <row r="66">
          <cell r="A66">
            <v>66</v>
          </cell>
          <cell r="B66">
            <v>70</v>
          </cell>
          <cell r="C66">
            <v>1.36</v>
          </cell>
          <cell r="D66">
            <v>61</v>
          </cell>
          <cell r="Z66" t="str">
            <v>21ada</v>
          </cell>
          <cell r="AA66">
            <v>21</v>
          </cell>
          <cell r="AB66" t="str">
            <v>ada</v>
          </cell>
          <cell r="AC66" t="str">
            <v>Sangat Kurang</v>
          </cell>
        </row>
        <row r="67">
          <cell r="A67">
            <v>67</v>
          </cell>
          <cell r="B67">
            <v>70</v>
          </cell>
          <cell r="C67">
            <v>1.36</v>
          </cell>
          <cell r="D67">
            <v>61</v>
          </cell>
          <cell r="Z67" t="str">
            <v>21tidak ada</v>
          </cell>
          <cell r="AA67">
            <v>21</v>
          </cell>
          <cell r="AB67" t="str">
            <v>tidak ada</v>
          </cell>
          <cell r="AC67" t="str">
            <v>Sangat Kurang</v>
          </cell>
        </row>
        <row r="68">
          <cell r="A68">
            <v>68</v>
          </cell>
          <cell r="B68">
            <v>70</v>
          </cell>
          <cell r="C68">
            <v>1.36</v>
          </cell>
          <cell r="D68">
            <v>61</v>
          </cell>
          <cell r="Z68" t="str">
            <v>22ada</v>
          </cell>
          <cell r="AA68">
            <v>22</v>
          </cell>
          <cell r="AB68" t="str">
            <v>ada</v>
          </cell>
          <cell r="AC68" t="str">
            <v>Sangat Kurang</v>
          </cell>
        </row>
        <row r="69">
          <cell r="A69">
            <v>69</v>
          </cell>
          <cell r="B69">
            <v>70</v>
          </cell>
          <cell r="C69">
            <v>1.36</v>
          </cell>
          <cell r="D69">
            <v>61</v>
          </cell>
          <cell r="Z69" t="str">
            <v>22tidak ada</v>
          </cell>
          <cell r="AA69">
            <v>22</v>
          </cell>
          <cell r="AB69" t="str">
            <v>tidak ada</v>
          </cell>
          <cell r="AC69" t="str">
            <v>Sangat Kurang</v>
          </cell>
        </row>
        <row r="70">
          <cell r="A70">
            <v>70</v>
          </cell>
          <cell r="B70">
            <v>70</v>
          </cell>
          <cell r="C70">
            <v>1.36</v>
          </cell>
          <cell r="D70">
            <v>61</v>
          </cell>
          <cell r="Z70" t="str">
            <v>23ada</v>
          </cell>
          <cell r="AA70">
            <v>23</v>
          </cell>
          <cell r="AB70" t="str">
            <v>ada</v>
          </cell>
          <cell r="AC70" t="str">
            <v>Sangat Kurang</v>
          </cell>
        </row>
        <row r="71">
          <cell r="A71">
            <v>71</v>
          </cell>
          <cell r="B71">
            <v>70</v>
          </cell>
          <cell r="C71">
            <v>1.36</v>
          </cell>
          <cell r="D71">
            <v>61</v>
          </cell>
          <cell r="Z71" t="str">
            <v>23tidak ada</v>
          </cell>
          <cell r="AA71">
            <v>23</v>
          </cell>
          <cell r="AB71" t="str">
            <v>tidak ada</v>
          </cell>
          <cell r="AC71" t="str">
            <v>Sangat Kurang</v>
          </cell>
        </row>
        <row r="72">
          <cell r="A72">
            <v>72</v>
          </cell>
          <cell r="B72">
            <v>70</v>
          </cell>
          <cell r="C72">
            <v>1.36</v>
          </cell>
          <cell r="D72">
            <v>61</v>
          </cell>
          <cell r="Z72" t="str">
            <v>24ada</v>
          </cell>
          <cell r="AA72">
            <v>24</v>
          </cell>
          <cell r="AB72" t="str">
            <v>ada</v>
          </cell>
          <cell r="AC72" t="str">
            <v>Sangat Kurang</v>
          </cell>
        </row>
        <row r="73">
          <cell r="A73">
            <v>73</v>
          </cell>
          <cell r="B73">
            <v>70</v>
          </cell>
          <cell r="C73">
            <v>1.36</v>
          </cell>
          <cell r="D73">
            <v>61</v>
          </cell>
          <cell r="Z73" t="str">
            <v>24tidak ada</v>
          </cell>
          <cell r="AA73">
            <v>24</v>
          </cell>
          <cell r="AB73" t="str">
            <v>tidak ada</v>
          </cell>
          <cell r="AC73" t="str">
            <v>Sangat Kurang</v>
          </cell>
        </row>
        <row r="74">
          <cell r="A74">
            <v>74</v>
          </cell>
          <cell r="B74">
            <v>70</v>
          </cell>
          <cell r="C74">
            <v>1.36</v>
          </cell>
          <cell r="D74">
            <v>61</v>
          </cell>
          <cell r="Z74" t="str">
            <v>25ada</v>
          </cell>
          <cell r="AA74">
            <v>25</v>
          </cell>
          <cell r="AB74" t="str">
            <v>ada</v>
          </cell>
          <cell r="AC74" t="str">
            <v>Sangat Kurang</v>
          </cell>
        </row>
        <row r="75">
          <cell r="A75">
            <v>75</v>
          </cell>
          <cell r="B75">
            <v>70</v>
          </cell>
          <cell r="C75">
            <v>1.36</v>
          </cell>
          <cell r="D75">
            <v>61</v>
          </cell>
          <cell r="Z75" t="str">
            <v>25tidak ada</v>
          </cell>
          <cell r="AA75">
            <v>25</v>
          </cell>
          <cell r="AB75" t="str">
            <v>tidak ada</v>
          </cell>
          <cell r="AC75" t="str">
            <v>Sangat Kurang</v>
          </cell>
        </row>
        <row r="76">
          <cell r="A76">
            <v>76</v>
          </cell>
          <cell r="B76">
            <v>90</v>
          </cell>
          <cell r="C76">
            <v>1.36</v>
          </cell>
          <cell r="D76">
            <v>76</v>
          </cell>
          <cell r="Z76" t="str">
            <v>26ada</v>
          </cell>
          <cell r="AA76">
            <v>26</v>
          </cell>
          <cell r="AB76" t="str">
            <v>ada</v>
          </cell>
          <cell r="AC76" t="str">
            <v>Sangat Kurang</v>
          </cell>
        </row>
        <row r="77">
          <cell r="A77">
            <v>77</v>
          </cell>
          <cell r="B77">
            <v>90</v>
          </cell>
          <cell r="C77">
            <v>1.36</v>
          </cell>
          <cell r="D77">
            <v>76</v>
          </cell>
          <cell r="Z77" t="str">
            <v>26tidak ada</v>
          </cell>
          <cell r="AA77">
            <v>26</v>
          </cell>
          <cell r="AB77" t="str">
            <v>tidak ada</v>
          </cell>
          <cell r="AC77" t="str">
            <v>Sangat Kurang</v>
          </cell>
        </row>
        <row r="78">
          <cell r="A78">
            <v>78</v>
          </cell>
          <cell r="B78">
            <v>90</v>
          </cell>
          <cell r="C78">
            <v>1.36</v>
          </cell>
          <cell r="D78">
            <v>76</v>
          </cell>
          <cell r="Z78" t="str">
            <v>27ada</v>
          </cell>
          <cell r="AA78">
            <v>27</v>
          </cell>
          <cell r="AB78" t="str">
            <v>ada</v>
          </cell>
          <cell r="AC78" t="str">
            <v>Sangat Kurang</v>
          </cell>
        </row>
        <row r="79">
          <cell r="A79">
            <v>79</v>
          </cell>
          <cell r="B79">
            <v>90</v>
          </cell>
          <cell r="C79">
            <v>1.36</v>
          </cell>
          <cell r="D79">
            <v>76</v>
          </cell>
          <cell r="Z79" t="str">
            <v>27tidak ada</v>
          </cell>
          <cell r="AA79">
            <v>27</v>
          </cell>
          <cell r="AB79" t="str">
            <v>tidak ada</v>
          </cell>
          <cell r="AC79" t="str">
            <v>Sangat Kurang</v>
          </cell>
        </row>
        <row r="80">
          <cell r="A80">
            <v>80</v>
          </cell>
          <cell r="B80">
            <v>90</v>
          </cell>
          <cell r="C80">
            <v>1.36</v>
          </cell>
          <cell r="D80">
            <v>76</v>
          </cell>
          <cell r="Z80" t="str">
            <v>28ada</v>
          </cell>
          <cell r="AA80">
            <v>28</v>
          </cell>
          <cell r="AB80" t="str">
            <v>ada</v>
          </cell>
          <cell r="AC80" t="str">
            <v>Sangat Kurang</v>
          </cell>
        </row>
        <row r="81">
          <cell r="A81">
            <v>81</v>
          </cell>
          <cell r="B81">
            <v>90</v>
          </cell>
          <cell r="C81">
            <v>1.36</v>
          </cell>
          <cell r="D81">
            <v>76</v>
          </cell>
          <cell r="Z81" t="str">
            <v>28tidak ada</v>
          </cell>
          <cell r="AA81">
            <v>28</v>
          </cell>
          <cell r="AB81" t="str">
            <v>tidak ada</v>
          </cell>
          <cell r="AC81" t="str">
            <v>Sangat Kurang</v>
          </cell>
        </row>
        <row r="82">
          <cell r="A82">
            <v>82</v>
          </cell>
          <cell r="B82">
            <v>90</v>
          </cell>
          <cell r="C82">
            <v>1.36</v>
          </cell>
          <cell r="D82">
            <v>76</v>
          </cell>
          <cell r="Z82" t="str">
            <v>29ada</v>
          </cell>
          <cell r="AA82">
            <v>29</v>
          </cell>
          <cell r="AB82" t="str">
            <v>ada</v>
          </cell>
          <cell r="AC82" t="str">
            <v>Sangat Kurang</v>
          </cell>
        </row>
        <row r="83">
          <cell r="A83">
            <v>83</v>
          </cell>
          <cell r="B83">
            <v>90</v>
          </cell>
          <cell r="C83">
            <v>1.36</v>
          </cell>
          <cell r="D83">
            <v>76</v>
          </cell>
          <cell r="Z83" t="str">
            <v>29tidak ada</v>
          </cell>
          <cell r="AA83">
            <v>29</v>
          </cell>
          <cell r="AB83" t="str">
            <v>tidak ada</v>
          </cell>
          <cell r="AC83" t="str">
            <v>Sangat Kurang</v>
          </cell>
        </row>
        <row r="84">
          <cell r="A84">
            <v>84</v>
          </cell>
          <cell r="B84">
            <v>90</v>
          </cell>
          <cell r="C84">
            <v>1.36</v>
          </cell>
          <cell r="D84">
            <v>76</v>
          </cell>
          <cell r="Z84" t="str">
            <v>2ada</v>
          </cell>
          <cell r="AA84">
            <v>2</v>
          </cell>
          <cell r="AB84" t="str">
            <v>ada</v>
          </cell>
          <cell r="AC84" t="str">
            <v>Sangat Kurang</v>
          </cell>
        </row>
        <row r="85">
          <cell r="A85">
            <v>85</v>
          </cell>
          <cell r="B85">
            <v>90</v>
          </cell>
          <cell r="C85">
            <v>1.36</v>
          </cell>
          <cell r="D85">
            <v>76</v>
          </cell>
          <cell r="Z85" t="str">
            <v>2tidak ada</v>
          </cell>
          <cell r="AA85">
            <v>2</v>
          </cell>
          <cell r="AB85" t="str">
            <v>tidak ada</v>
          </cell>
          <cell r="AC85" t="str">
            <v>Sangat Kurang</v>
          </cell>
        </row>
        <row r="86">
          <cell r="A86">
            <v>86</v>
          </cell>
          <cell r="B86">
            <v>90</v>
          </cell>
          <cell r="C86">
            <v>1.36</v>
          </cell>
          <cell r="D86">
            <v>76</v>
          </cell>
          <cell r="Z86" t="str">
            <v>30ada</v>
          </cell>
          <cell r="AA86">
            <v>30</v>
          </cell>
          <cell r="AB86" t="str">
            <v>ada</v>
          </cell>
          <cell r="AC86" t="str">
            <v>Sangat Kurang</v>
          </cell>
        </row>
        <row r="87">
          <cell r="A87">
            <v>87</v>
          </cell>
          <cell r="B87">
            <v>90</v>
          </cell>
          <cell r="C87">
            <v>1.36</v>
          </cell>
          <cell r="D87">
            <v>76</v>
          </cell>
          <cell r="Z87" t="str">
            <v>30tidak ada</v>
          </cell>
          <cell r="AA87">
            <v>30</v>
          </cell>
          <cell r="AB87" t="str">
            <v>tidak ada</v>
          </cell>
          <cell r="AC87" t="str">
            <v>Sangat Kurang</v>
          </cell>
        </row>
        <row r="88">
          <cell r="A88">
            <v>88</v>
          </cell>
          <cell r="B88">
            <v>90</v>
          </cell>
          <cell r="C88">
            <v>1.36</v>
          </cell>
          <cell r="D88">
            <v>76</v>
          </cell>
          <cell r="Z88" t="str">
            <v>31ada</v>
          </cell>
          <cell r="AA88">
            <v>31</v>
          </cell>
          <cell r="AB88" t="str">
            <v>ada</v>
          </cell>
          <cell r="AC88" t="str">
            <v>Sangat Kurang</v>
          </cell>
        </row>
        <row r="89">
          <cell r="A89">
            <v>89</v>
          </cell>
          <cell r="B89">
            <v>90</v>
          </cell>
          <cell r="C89">
            <v>1.36</v>
          </cell>
          <cell r="D89">
            <v>76</v>
          </cell>
          <cell r="Z89" t="str">
            <v>31tidak ada</v>
          </cell>
          <cell r="AA89">
            <v>31</v>
          </cell>
          <cell r="AB89" t="str">
            <v>tidak ada</v>
          </cell>
          <cell r="AC89" t="str">
            <v>Sangat Kurang</v>
          </cell>
        </row>
        <row r="90">
          <cell r="A90">
            <v>90</v>
          </cell>
          <cell r="B90">
            <v>90</v>
          </cell>
          <cell r="C90">
            <v>1.36</v>
          </cell>
          <cell r="D90">
            <v>76</v>
          </cell>
          <cell r="Z90" t="str">
            <v>32ada</v>
          </cell>
          <cell r="AA90">
            <v>32</v>
          </cell>
          <cell r="AB90" t="str">
            <v>ada</v>
          </cell>
          <cell r="AC90" t="str">
            <v>Sangat Kurang</v>
          </cell>
        </row>
        <row r="91">
          <cell r="A91">
            <v>91</v>
          </cell>
          <cell r="B91">
            <v>110</v>
          </cell>
          <cell r="C91">
            <v>1.25</v>
          </cell>
          <cell r="D91">
            <v>91</v>
          </cell>
          <cell r="Z91" t="str">
            <v>32tidak ada</v>
          </cell>
          <cell r="AA91">
            <v>32</v>
          </cell>
          <cell r="AB91" t="str">
            <v>tidak ada</v>
          </cell>
          <cell r="AC91" t="str">
            <v>Sangat Kurang</v>
          </cell>
        </row>
        <row r="92">
          <cell r="A92">
            <v>92</v>
          </cell>
          <cell r="B92">
            <v>110</v>
          </cell>
          <cell r="C92">
            <v>1.25</v>
          </cell>
          <cell r="D92">
            <v>91</v>
          </cell>
          <cell r="Z92" t="str">
            <v>33ada</v>
          </cell>
          <cell r="AA92">
            <v>33</v>
          </cell>
          <cell r="AB92" t="str">
            <v>ada</v>
          </cell>
          <cell r="AC92" t="str">
            <v>Sangat Kurang</v>
          </cell>
        </row>
        <row r="93">
          <cell r="A93">
            <v>93</v>
          </cell>
          <cell r="B93">
            <v>110</v>
          </cell>
          <cell r="C93">
            <v>1.25</v>
          </cell>
          <cell r="D93">
            <v>91</v>
          </cell>
          <cell r="Z93" t="str">
            <v>33tidak ada</v>
          </cell>
          <cell r="AA93">
            <v>33</v>
          </cell>
          <cell r="AB93" t="str">
            <v>tidak ada</v>
          </cell>
          <cell r="AC93" t="str">
            <v>Sangat Kurang</v>
          </cell>
        </row>
        <row r="94">
          <cell r="A94">
            <v>94</v>
          </cell>
          <cell r="B94">
            <v>110</v>
          </cell>
          <cell r="C94">
            <v>1.25</v>
          </cell>
          <cell r="D94">
            <v>91</v>
          </cell>
          <cell r="Z94" t="str">
            <v>34ada</v>
          </cell>
          <cell r="AA94">
            <v>34</v>
          </cell>
          <cell r="AB94" t="str">
            <v>ada</v>
          </cell>
          <cell r="AC94" t="str">
            <v>Sangat Kurang</v>
          </cell>
        </row>
        <row r="95">
          <cell r="A95">
            <v>95</v>
          </cell>
          <cell r="B95">
            <v>110</v>
          </cell>
          <cell r="C95">
            <v>1.25</v>
          </cell>
          <cell r="D95">
            <v>91</v>
          </cell>
          <cell r="Z95" t="str">
            <v>34tidak ada</v>
          </cell>
          <cell r="AA95">
            <v>34</v>
          </cell>
          <cell r="AB95" t="str">
            <v>tidak ada</v>
          </cell>
          <cell r="AC95" t="str">
            <v>Sangat Kurang</v>
          </cell>
        </row>
        <row r="96">
          <cell r="A96">
            <v>96</v>
          </cell>
          <cell r="B96">
            <v>110</v>
          </cell>
          <cell r="C96">
            <v>1.25</v>
          </cell>
          <cell r="D96">
            <v>91</v>
          </cell>
          <cell r="Z96" t="str">
            <v>35ada</v>
          </cell>
          <cell r="AA96">
            <v>35</v>
          </cell>
          <cell r="AB96" t="str">
            <v>ada</v>
          </cell>
          <cell r="AC96" t="str">
            <v>Sangat Kurang</v>
          </cell>
        </row>
        <row r="97">
          <cell r="A97">
            <v>97</v>
          </cell>
          <cell r="B97">
            <v>110</v>
          </cell>
          <cell r="C97">
            <v>1.25</v>
          </cell>
          <cell r="D97">
            <v>91</v>
          </cell>
          <cell r="Z97" t="str">
            <v>35tidak ada</v>
          </cell>
          <cell r="AA97">
            <v>35</v>
          </cell>
          <cell r="AB97" t="str">
            <v>tidak ada</v>
          </cell>
          <cell r="AC97" t="str">
            <v>Sangat Kurang</v>
          </cell>
        </row>
        <row r="98">
          <cell r="A98">
            <v>98</v>
          </cell>
          <cell r="B98">
            <v>110</v>
          </cell>
          <cell r="C98">
            <v>1.25</v>
          </cell>
          <cell r="D98">
            <v>91</v>
          </cell>
          <cell r="Z98" t="str">
            <v>36ada</v>
          </cell>
          <cell r="AA98">
            <v>36</v>
          </cell>
          <cell r="AB98" t="str">
            <v>ada</v>
          </cell>
          <cell r="AC98" t="str">
            <v>Sangat Kurang</v>
          </cell>
        </row>
        <row r="99">
          <cell r="A99">
            <v>99</v>
          </cell>
          <cell r="B99">
            <v>110</v>
          </cell>
          <cell r="C99">
            <v>1.25</v>
          </cell>
          <cell r="D99">
            <v>91</v>
          </cell>
          <cell r="Z99" t="str">
            <v>36tidak ada</v>
          </cell>
          <cell r="AA99">
            <v>36</v>
          </cell>
          <cell r="AB99" t="str">
            <v>tidak ada</v>
          </cell>
          <cell r="AC99" t="str">
            <v>Sangat Kurang</v>
          </cell>
        </row>
        <row r="100">
          <cell r="Z100" t="str">
            <v>37ada</v>
          </cell>
          <cell r="AA100">
            <v>37</v>
          </cell>
          <cell r="AB100" t="str">
            <v>ada</v>
          </cell>
          <cell r="AC100" t="str">
            <v>Sangat Kurang</v>
          </cell>
        </row>
        <row r="101">
          <cell r="Z101" t="str">
            <v>37tidak ada</v>
          </cell>
          <cell r="AA101">
            <v>37</v>
          </cell>
          <cell r="AB101" t="str">
            <v>tidak ada</v>
          </cell>
          <cell r="AC101" t="str">
            <v>Sangat Kurang</v>
          </cell>
        </row>
        <row r="102">
          <cell r="Z102" t="str">
            <v>38ada</v>
          </cell>
          <cell r="AA102">
            <v>38</v>
          </cell>
          <cell r="AB102" t="str">
            <v>ada</v>
          </cell>
          <cell r="AC102" t="str">
            <v>Sangat Kurang</v>
          </cell>
        </row>
        <row r="103">
          <cell r="Z103" t="str">
            <v>38tidak ada</v>
          </cell>
          <cell r="AA103">
            <v>38</v>
          </cell>
          <cell r="AB103" t="str">
            <v>tidak ada</v>
          </cell>
          <cell r="AC103" t="str">
            <v>Sangat Kurang</v>
          </cell>
        </row>
        <row r="104">
          <cell r="Z104" t="str">
            <v>39ada</v>
          </cell>
          <cell r="AA104">
            <v>39</v>
          </cell>
          <cell r="AB104" t="str">
            <v>ada</v>
          </cell>
          <cell r="AC104" t="str">
            <v>Sangat Kurang</v>
          </cell>
        </row>
        <row r="105">
          <cell r="Z105" t="str">
            <v>39tidak ada</v>
          </cell>
          <cell r="AA105">
            <v>39</v>
          </cell>
          <cell r="AB105" t="str">
            <v>tidak ada</v>
          </cell>
          <cell r="AC105" t="str">
            <v>Sangat Kurang</v>
          </cell>
        </row>
        <row r="106">
          <cell r="Z106" t="str">
            <v>3ada</v>
          </cell>
          <cell r="AA106">
            <v>3</v>
          </cell>
          <cell r="AB106" t="str">
            <v>ada</v>
          </cell>
          <cell r="AC106" t="str">
            <v>Sangat Kurang</v>
          </cell>
        </row>
        <row r="107">
          <cell r="Z107" t="str">
            <v>3tidak ada</v>
          </cell>
          <cell r="AA107">
            <v>3</v>
          </cell>
          <cell r="AB107" t="str">
            <v>tidak ada</v>
          </cell>
          <cell r="AC107" t="str">
            <v>Sangat Kurang</v>
          </cell>
        </row>
        <row r="108">
          <cell r="Z108" t="str">
            <v>40ada</v>
          </cell>
          <cell r="AA108">
            <v>40</v>
          </cell>
          <cell r="AB108" t="str">
            <v>ada</v>
          </cell>
          <cell r="AC108" t="str">
            <v>Sangat Kurang</v>
          </cell>
        </row>
        <row r="109">
          <cell r="Z109" t="str">
            <v>40tidak ada</v>
          </cell>
          <cell r="AA109">
            <v>40</v>
          </cell>
          <cell r="AB109" t="str">
            <v>tidak ada</v>
          </cell>
          <cell r="AC109" t="str">
            <v>Sangat Kurang</v>
          </cell>
        </row>
        <row r="110">
          <cell r="Z110" t="str">
            <v>41ada</v>
          </cell>
          <cell r="AA110">
            <v>41</v>
          </cell>
          <cell r="AB110" t="str">
            <v>ada</v>
          </cell>
          <cell r="AC110" t="str">
            <v>Sangat Kurang</v>
          </cell>
        </row>
        <row r="111">
          <cell r="Z111" t="str">
            <v>41tidak ada</v>
          </cell>
          <cell r="AA111">
            <v>41</v>
          </cell>
          <cell r="AB111" t="str">
            <v>tidak ada</v>
          </cell>
          <cell r="AC111" t="str">
            <v>Sangat Kurang</v>
          </cell>
        </row>
        <row r="112">
          <cell r="Z112" t="str">
            <v>42ada</v>
          </cell>
          <cell r="AA112">
            <v>42</v>
          </cell>
          <cell r="AB112" t="str">
            <v>ada</v>
          </cell>
          <cell r="AC112" t="str">
            <v>Sangat Kurang</v>
          </cell>
        </row>
        <row r="113">
          <cell r="Z113" t="str">
            <v>42tidak ada</v>
          </cell>
          <cell r="AA113">
            <v>42</v>
          </cell>
          <cell r="AB113" t="str">
            <v>tidak ada</v>
          </cell>
          <cell r="AC113" t="str">
            <v>Sangat Kurang</v>
          </cell>
        </row>
        <row r="114">
          <cell r="Z114" t="str">
            <v>43ada</v>
          </cell>
          <cell r="AA114">
            <v>43</v>
          </cell>
          <cell r="AB114" t="str">
            <v>ada</v>
          </cell>
          <cell r="AC114" t="str">
            <v>Sangat Kurang</v>
          </cell>
        </row>
        <row r="115">
          <cell r="Z115" t="str">
            <v>43tidak ada</v>
          </cell>
          <cell r="AA115">
            <v>43</v>
          </cell>
          <cell r="AB115" t="str">
            <v>tidak ada</v>
          </cell>
          <cell r="AC115" t="str">
            <v>Sangat Kurang</v>
          </cell>
        </row>
        <row r="116">
          <cell r="Z116" t="str">
            <v>44ada</v>
          </cell>
          <cell r="AA116">
            <v>44</v>
          </cell>
          <cell r="AB116" t="str">
            <v>ada</v>
          </cell>
          <cell r="AC116" t="str">
            <v>Sangat Kurang</v>
          </cell>
        </row>
        <row r="117">
          <cell r="Z117" t="str">
            <v>44tidak ada</v>
          </cell>
          <cell r="AA117">
            <v>44</v>
          </cell>
          <cell r="AB117" t="str">
            <v>tidak ada</v>
          </cell>
          <cell r="AC117" t="str">
            <v>Sangat Kurang</v>
          </cell>
        </row>
        <row r="118">
          <cell r="Z118" t="str">
            <v>45ada</v>
          </cell>
          <cell r="AA118">
            <v>45</v>
          </cell>
          <cell r="AB118" t="str">
            <v>ada</v>
          </cell>
          <cell r="AC118" t="str">
            <v>Sangat Kurang</v>
          </cell>
        </row>
        <row r="119">
          <cell r="Z119" t="str">
            <v>45tidak ada</v>
          </cell>
          <cell r="AA119">
            <v>45</v>
          </cell>
          <cell r="AB119" t="str">
            <v>tidak ada</v>
          </cell>
          <cell r="AC119" t="str">
            <v>Sangat Kurang</v>
          </cell>
        </row>
        <row r="120">
          <cell r="Z120" t="str">
            <v>46ada</v>
          </cell>
          <cell r="AA120">
            <v>46</v>
          </cell>
          <cell r="AB120" t="str">
            <v>ada</v>
          </cell>
          <cell r="AC120" t="str">
            <v>Sangat Kurang</v>
          </cell>
        </row>
        <row r="121">
          <cell r="Z121" t="str">
            <v>46tidak ada</v>
          </cell>
          <cell r="AA121">
            <v>46</v>
          </cell>
          <cell r="AB121" t="str">
            <v>tidak ada</v>
          </cell>
          <cell r="AC121" t="str">
            <v>Sangat Kurang</v>
          </cell>
        </row>
        <row r="122">
          <cell r="Z122" t="str">
            <v>47ada</v>
          </cell>
          <cell r="AA122">
            <v>47</v>
          </cell>
          <cell r="AB122" t="str">
            <v>ada</v>
          </cell>
          <cell r="AC122" t="str">
            <v>Sangat Kurang</v>
          </cell>
        </row>
        <row r="123">
          <cell r="Z123" t="str">
            <v>47tidak ada</v>
          </cell>
          <cell r="AA123">
            <v>47</v>
          </cell>
          <cell r="AB123" t="str">
            <v>tidak ada</v>
          </cell>
          <cell r="AC123" t="str">
            <v>Sangat Kurang</v>
          </cell>
        </row>
        <row r="124">
          <cell r="Z124" t="str">
            <v>48ada</v>
          </cell>
          <cell r="AA124">
            <v>48</v>
          </cell>
          <cell r="AB124" t="str">
            <v>ada</v>
          </cell>
          <cell r="AC124" t="str">
            <v>Sangat Kurang</v>
          </cell>
        </row>
        <row r="125">
          <cell r="Z125" t="str">
            <v>48tidak ada</v>
          </cell>
          <cell r="AA125">
            <v>48</v>
          </cell>
          <cell r="AB125" t="str">
            <v>tidak ada</v>
          </cell>
          <cell r="AC125" t="str">
            <v>Sangat Kurang</v>
          </cell>
        </row>
        <row r="126">
          <cell r="Z126" t="str">
            <v>49ada</v>
          </cell>
          <cell r="AA126">
            <v>49</v>
          </cell>
          <cell r="AB126" t="str">
            <v>ada</v>
          </cell>
          <cell r="AC126" t="str">
            <v>Sangat Kurang</v>
          </cell>
        </row>
        <row r="127">
          <cell r="Z127" t="str">
            <v>49tidak ada</v>
          </cell>
          <cell r="AA127">
            <v>49</v>
          </cell>
          <cell r="AB127" t="str">
            <v>tidak ada</v>
          </cell>
          <cell r="AC127" t="str">
            <v>Sangat Kurang</v>
          </cell>
        </row>
        <row r="128">
          <cell r="Z128" t="str">
            <v>4ada</v>
          </cell>
          <cell r="AA128">
            <v>4</v>
          </cell>
          <cell r="AB128" t="str">
            <v>ada</v>
          </cell>
          <cell r="AC128" t="str">
            <v>Sangat Kurang</v>
          </cell>
        </row>
        <row r="129">
          <cell r="Z129" t="str">
            <v>4tidak ada</v>
          </cell>
          <cell r="AA129">
            <v>4</v>
          </cell>
          <cell r="AB129" t="str">
            <v>tidak ada</v>
          </cell>
          <cell r="AC129" t="str">
            <v>Sangat Kurang</v>
          </cell>
        </row>
        <row r="130">
          <cell r="Z130" t="str">
            <v>50ada</v>
          </cell>
          <cell r="AA130">
            <v>50</v>
          </cell>
          <cell r="AB130" t="str">
            <v>ada</v>
          </cell>
          <cell r="AC130" t="str">
            <v>Kurang</v>
          </cell>
        </row>
        <row r="131">
          <cell r="Z131" t="str">
            <v>50tidak ada</v>
          </cell>
          <cell r="AA131">
            <v>50</v>
          </cell>
          <cell r="AB131" t="str">
            <v>tidak ada</v>
          </cell>
          <cell r="AC131" t="str">
            <v>Kurang</v>
          </cell>
        </row>
        <row r="132">
          <cell r="Z132" t="str">
            <v>51ada</v>
          </cell>
          <cell r="AA132">
            <v>51</v>
          </cell>
          <cell r="AB132" t="str">
            <v>ada</v>
          </cell>
          <cell r="AC132" t="str">
            <v>Kurang</v>
          </cell>
        </row>
        <row r="133">
          <cell r="Z133" t="str">
            <v>51tidak ada</v>
          </cell>
          <cell r="AA133">
            <v>51</v>
          </cell>
          <cell r="AB133" t="str">
            <v>tidak ada</v>
          </cell>
          <cell r="AC133" t="str">
            <v>Kurang</v>
          </cell>
        </row>
        <row r="134">
          <cell r="Z134" t="str">
            <v>52ada</v>
          </cell>
          <cell r="AA134">
            <v>52</v>
          </cell>
          <cell r="AB134" t="str">
            <v>ada</v>
          </cell>
          <cell r="AC134" t="str">
            <v>Kurang</v>
          </cell>
        </row>
        <row r="135">
          <cell r="Z135" t="str">
            <v>52tidak ada</v>
          </cell>
          <cell r="AA135">
            <v>52</v>
          </cell>
          <cell r="AB135" t="str">
            <v>tidak ada</v>
          </cell>
          <cell r="AC135" t="str">
            <v>Kurang</v>
          </cell>
        </row>
        <row r="136">
          <cell r="Z136" t="str">
            <v>53ada</v>
          </cell>
          <cell r="AA136">
            <v>53</v>
          </cell>
          <cell r="AB136" t="str">
            <v>ada</v>
          </cell>
          <cell r="AC136" t="str">
            <v>Kurang</v>
          </cell>
        </row>
        <row r="137">
          <cell r="Z137" t="str">
            <v>53tidak ada</v>
          </cell>
          <cell r="AA137">
            <v>53</v>
          </cell>
          <cell r="AB137" t="str">
            <v>tidak ada</v>
          </cell>
          <cell r="AC137" t="str">
            <v>Kurang</v>
          </cell>
        </row>
        <row r="138">
          <cell r="Z138" t="str">
            <v>54ada</v>
          </cell>
          <cell r="AA138">
            <v>54</v>
          </cell>
          <cell r="AB138" t="str">
            <v>ada</v>
          </cell>
          <cell r="AC138" t="str">
            <v>Kurang</v>
          </cell>
        </row>
        <row r="139">
          <cell r="Z139" t="str">
            <v>54tidak ada</v>
          </cell>
          <cell r="AA139">
            <v>54</v>
          </cell>
          <cell r="AB139" t="str">
            <v>tidak ada</v>
          </cell>
          <cell r="AC139" t="str">
            <v>Kurang</v>
          </cell>
        </row>
        <row r="140">
          <cell r="Z140" t="str">
            <v>55ada</v>
          </cell>
          <cell r="AA140">
            <v>55</v>
          </cell>
          <cell r="AB140" t="str">
            <v>ada</v>
          </cell>
          <cell r="AC140" t="str">
            <v>Kurang</v>
          </cell>
        </row>
        <row r="141">
          <cell r="Z141" t="str">
            <v>55tidak ada</v>
          </cell>
          <cell r="AA141">
            <v>55</v>
          </cell>
          <cell r="AB141" t="str">
            <v>tidak ada</v>
          </cell>
          <cell r="AC141" t="str">
            <v>Kurang</v>
          </cell>
        </row>
        <row r="142">
          <cell r="Z142" t="str">
            <v>56ada</v>
          </cell>
          <cell r="AA142">
            <v>56</v>
          </cell>
          <cell r="AB142" t="str">
            <v>ada</v>
          </cell>
          <cell r="AC142" t="str">
            <v>Kurang</v>
          </cell>
        </row>
        <row r="143">
          <cell r="Z143" t="str">
            <v>56tidak ada</v>
          </cell>
          <cell r="AA143">
            <v>56</v>
          </cell>
          <cell r="AB143" t="str">
            <v>tidak ada</v>
          </cell>
          <cell r="AC143" t="str">
            <v>Kurang</v>
          </cell>
        </row>
        <row r="144">
          <cell r="Z144" t="str">
            <v>57ada</v>
          </cell>
          <cell r="AA144">
            <v>57</v>
          </cell>
          <cell r="AB144" t="str">
            <v>ada</v>
          </cell>
          <cell r="AC144" t="str">
            <v>Kurang</v>
          </cell>
        </row>
        <row r="145">
          <cell r="Z145" t="str">
            <v>57tidak ada</v>
          </cell>
          <cell r="AA145">
            <v>57</v>
          </cell>
          <cell r="AB145" t="str">
            <v>tidak ada</v>
          </cell>
          <cell r="AC145" t="str">
            <v>Kurang</v>
          </cell>
        </row>
        <row r="146">
          <cell r="Z146" t="str">
            <v>58ada</v>
          </cell>
          <cell r="AA146">
            <v>58</v>
          </cell>
          <cell r="AB146" t="str">
            <v>ada</v>
          </cell>
          <cell r="AC146" t="str">
            <v>Kurang</v>
          </cell>
        </row>
        <row r="147">
          <cell r="Z147" t="str">
            <v>58tidak ada</v>
          </cell>
          <cell r="AA147">
            <v>58</v>
          </cell>
          <cell r="AB147" t="str">
            <v>tidak ada</v>
          </cell>
          <cell r="AC147" t="str">
            <v>Kurang</v>
          </cell>
        </row>
        <row r="148">
          <cell r="Z148" t="str">
            <v>59ada</v>
          </cell>
          <cell r="AA148">
            <v>59</v>
          </cell>
          <cell r="AB148" t="str">
            <v>ada</v>
          </cell>
          <cell r="AC148" t="str">
            <v>Kurang</v>
          </cell>
        </row>
        <row r="149">
          <cell r="Z149" t="str">
            <v>59tidak ada</v>
          </cell>
          <cell r="AA149">
            <v>59</v>
          </cell>
          <cell r="AB149" t="str">
            <v>tidak ada</v>
          </cell>
          <cell r="AC149" t="str">
            <v>Kurang</v>
          </cell>
        </row>
        <row r="150">
          <cell r="Z150" t="str">
            <v>5ada</v>
          </cell>
          <cell r="AA150">
            <v>5</v>
          </cell>
          <cell r="AB150" t="str">
            <v>ada</v>
          </cell>
          <cell r="AC150" t="str">
            <v>Sangat Kurang</v>
          </cell>
        </row>
        <row r="151">
          <cell r="Z151" t="str">
            <v>5tidak ada</v>
          </cell>
          <cell r="AA151">
            <v>5</v>
          </cell>
          <cell r="AB151" t="str">
            <v>tidak ada</v>
          </cell>
          <cell r="AC151" t="str">
            <v>Sangat Kurang</v>
          </cell>
        </row>
        <row r="152">
          <cell r="Z152" t="str">
            <v>60ada</v>
          </cell>
          <cell r="AA152">
            <v>60</v>
          </cell>
          <cell r="AB152" t="str">
            <v>ada</v>
          </cell>
          <cell r="AC152" t="str">
            <v>Kurang</v>
          </cell>
        </row>
        <row r="153">
          <cell r="Z153" t="str">
            <v>60tidak ada</v>
          </cell>
          <cell r="AA153">
            <v>60</v>
          </cell>
          <cell r="AB153" t="str">
            <v>tidak ada</v>
          </cell>
          <cell r="AC153" t="str">
            <v>Kurang</v>
          </cell>
        </row>
        <row r="154">
          <cell r="Z154" t="str">
            <v>61ada</v>
          </cell>
          <cell r="AA154">
            <v>61</v>
          </cell>
          <cell r="AB154" t="str">
            <v>ada</v>
          </cell>
          <cell r="AC154" t="str">
            <v>Kurang</v>
          </cell>
        </row>
        <row r="155">
          <cell r="Z155" t="str">
            <v>61tidak ada</v>
          </cell>
          <cell r="AA155">
            <v>61</v>
          </cell>
          <cell r="AB155" t="str">
            <v>tidak ada</v>
          </cell>
          <cell r="AC155" t="str">
            <v>Kurang</v>
          </cell>
        </row>
        <row r="156">
          <cell r="Z156" t="str">
            <v>62ada</v>
          </cell>
          <cell r="AA156">
            <v>62</v>
          </cell>
          <cell r="AB156" t="str">
            <v>ada</v>
          </cell>
          <cell r="AC156" t="str">
            <v>Kurang</v>
          </cell>
        </row>
        <row r="157">
          <cell r="Z157" t="str">
            <v>62tidak ada</v>
          </cell>
          <cell r="AA157">
            <v>62</v>
          </cell>
          <cell r="AB157" t="str">
            <v>tidak ada</v>
          </cell>
          <cell r="AC157" t="str">
            <v>Kurang</v>
          </cell>
        </row>
        <row r="158">
          <cell r="Z158" t="str">
            <v>63ada</v>
          </cell>
          <cell r="AA158">
            <v>63</v>
          </cell>
          <cell r="AB158" t="str">
            <v>ada</v>
          </cell>
          <cell r="AC158" t="str">
            <v>Kurang</v>
          </cell>
        </row>
        <row r="159">
          <cell r="Z159" t="str">
            <v>63tidak ada</v>
          </cell>
          <cell r="AA159">
            <v>63</v>
          </cell>
          <cell r="AB159" t="str">
            <v>tidak ada</v>
          </cell>
          <cell r="AC159" t="str">
            <v>Kurang</v>
          </cell>
        </row>
        <row r="160">
          <cell r="Z160" t="str">
            <v>64ada</v>
          </cell>
          <cell r="AA160">
            <v>64</v>
          </cell>
          <cell r="AB160" t="str">
            <v>ada</v>
          </cell>
          <cell r="AC160" t="str">
            <v>Kurang</v>
          </cell>
        </row>
        <row r="161">
          <cell r="Z161" t="str">
            <v>64tidak ada</v>
          </cell>
          <cell r="AA161">
            <v>64</v>
          </cell>
          <cell r="AB161" t="str">
            <v>tidak ada</v>
          </cell>
          <cell r="AC161" t="str">
            <v>Kurang</v>
          </cell>
        </row>
        <row r="162">
          <cell r="Z162" t="str">
            <v>65ada</v>
          </cell>
          <cell r="AA162">
            <v>65</v>
          </cell>
          <cell r="AB162" t="str">
            <v>ada</v>
          </cell>
          <cell r="AC162" t="str">
            <v>Kurang</v>
          </cell>
        </row>
        <row r="163">
          <cell r="Z163" t="str">
            <v>65tidak ada</v>
          </cell>
          <cell r="AA163">
            <v>65</v>
          </cell>
          <cell r="AB163" t="str">
            <v>tidak ada</v>
          </cell>
          <cell r="AC163" t="str">
            <v>Kurang</v>
          </cell>
        </row>
        <row r="164">
          <cell r="Z164" t="str">
            <v>66ada</v>
          </cell>
          <cell r="AA164">
            <v>66</v>
          </cell>
          <cell r="AB164" t="str">
            <v>ada</v>
          </cell>
          <cell r="AC164" t="str">
            <v>Kurang</v>
          </cell>
        </row>
        <row r="165">
          <cell r="Z165" t="str">
            <v>66tidak ada</v>
          </cell>
          <cell r="AA165">
            <v>66</v>
          </cell>
          <cell r="AB165" t="str">
            <v>tidak ada</v>
          </cell>
          <cell r="AC165" t="str">
            <v>Kurang</v>
          </cell>
        </row>
        <row r="166">
          <cell r="Z166" t="str">
            <v>67ada</v>
          </cell>
          <cell r="AA166">
            <v>67</v>
          </cell>
          <cell r="AB166" t="str">
            <v>ada</v>
          </cell>
          <cell r="AC166" t="str">
            <v>Kurang</v>
          </cell>
        </row>
        <row r="167">
          <cell r="Z167" t="str">
            <v>67tidak ada</v>
          </cell>
          <cell r="AA167">
            <v>67</v>
          </cell>
          <cell r="AB167" t="str">
            <v>tidak ada</v>
          </cell>
          <cell r="AC167" t="str">
            <v>Kurang</v>
          </cell>
        </row>
        <row r="168">
          <cell r="Z168" t="str">
            <v>68ada</v>
          </cell>
          <cell r="AA168">
            <v>68</v>
          </cell>
          <cell r="AB168" t="str">
            <v>ada</v>
          </cell>
          <cell r="AC168" t="str">
            <v>Kurang</v>
          </cell>
        </row>
        <row r="169">
          <cell r="Z169" t="str">
            <v>68tidak ada</v>
          </cell>
          <cell r="AA169">
            <v>68</v>
          </cell>
          <cell r="AB169" t="str">
            <v>tidak ada</v>
          </cell>
          <cell r="AC169" t="str">
            <v>Kurang</v>
          </cell>
        </row>
        <row r="170">
          <cell r="Z170" t="str">
            <v>69ada</v>
          </cell>
          <cell r="AA170">
            <v>69</v>
          </cell>
          <cell r="AB170" t="str">
            <v>ada</v>
          </cell>
          <cell r="AC170" t="str">
            <v>Kurang</v>
          </cell>
        </row>
        <row r="171">
          <cell r="Z171" t="str">
            <v>69tidak ada</v>
          </cell>
          <cell r="AA171">
            <v>69</v>
          </cell>
          <cell r="AB171" t="str">
            <v>tidak ada</v>
          </cell>
          <cell r="AC171" t="str">
            <v>Kurang</v>
          </cell>
        </row>
        <row r="172">
          <cell r="Z172" t="str">
            <v>6ada</v>
          </cell>
          <cell r="AA172">
            <v>6</v>
          </cell>
          <cell r="AB172" t="str">
            <v>ada</v>
          </cell>
          <cell r="AC172" t="str">
            <v>Sangat Kurang</v>
          </cell>
        </row>
        <row r="173">
          <cell r="Z173" t="str">
            <v>6tidak ada</v>
          </cell>
          <cell r="AA173">
            <v>6</v>
          </cell>
          <cell r="AB173" t="str">
            <v>tidak ada</v>
          </cell>
          <cell r="AC173" t="str">
            <v>Sangat Kurang</v>
          </cell>
        </row>
        <row r="174">
          <cell r="Z174" t="str">
            <v>70ada</v>
          </cell>
          <cell r="AA174">
            <v>70</v>
          </cell>
          <cell r="AB174" t="str">
            <v>ada</v>
          </cell>
          <cell r="AC174" t="str">
            <v>Cukup</v>
          </cell>
        </row>
        <row r="175">
          <cell r="Z175" t="str">
            <v>70tidak ada</v>
          </cell>
          <cell r="AA175">
            <v>70</v>
          </cell>
          <cell r="AB175" t="str">
            <v>tidak ada</v>
          </cell>
          <cell r="AC175" t="str">
            <v>Cukup</v>
          </cell>
        </row>
        <row r="176">
          <cell r="Z176" t="str">
            <v>71ada</v>
          </cell>
          <cell r="AA176">
            <v>71</v>
          </cell>
          <cell r="AB176" t="str">
            <v>ada</v>
          </cell>
          <cell r="AC176" t="str">
            <v>Cukup</v>
          </cell>
        </row>
        <row r="177">
          <cell r="Z177" t="str">
            <v>71tidak ada</v>
          </cell>
          <cell r="AA177">
            <v>71</v>
          </cell>
          <cell r="AB177" t="str">
            <v>tidak ada</v>
          </cell>
          <cell r="AC177" t="str">
            <v>Cukup</v>
          </cell>
        </row>
        <row r="178">
          <cell r="Z178" t="str">
            <v>72ada</v>
          </cell>
          <cell r="AA178">
            <v>72</v>
          </cell>
          <cell r="AB178" t="str">
            <v>ada</v>
          </cell>
          <cell r="AC178" t="str">
            <v>Cukup</v>
          </cell>
        </row>
        <row r="179">
          <cell r="Z179" t="str">
            <v>72tidak ada</v>
          </cell>
          <cell r="AA179">
            <v>72</v>
          </cell>
          <cell r="AB179" t="str">
            <v>tidak ada</v>
          </cell>
          <cell r="AC179" t="str">
            <v>Cukup</v>
          </cell>
        </row>
        <row r="180">
          <cell r="Z180" t="str">
            <v>73ada</v>
          </cell>
          <cell r="AA180">
            <v>73</v>
          </cell>
          <cell r="AB180" t="str">
            <v>ada</v>
          </cell>
          <cell r="AC180" t="str">
            <v>Cukup</v>
          </cell>
        </row>
        <row r="181">
          <cell r="Z181" t="str">
            <v>73tidak ada</v>
          </cell>
          <cell r="AA181">
            <v>73</v>
          </cell>
          <cell r="AB181" t="str">
            <v>tidak ada</v>
          </cell>
          <cell r="AC181" t="str">
            <v>Cukup</v>
          </cell>
        </row>
        <row r="182">
          <cell r="Z182" t="str">
            <v>74ada</v>
          </cell>
          <cell r="AA182">
            <v>74</v>
          </cell>
          <cell r="AB182" t="str">
            <v>ada</v>
          </cell>
          <cell r="AC182" t="str">
            <v>Cukup</v>
          </cell>
        </row>
        <row r="183">
          <cell r="Z183" t="str">
            <v>74tidak ada</v>
          </cell>
          <cell r="AA183">
            <v>74</v>
          </cell>
          <cell r="AB183" t="str">
            <v>tidak ada</v>
          </cell>
          <cell r="AC183" t="str">
            <v>Cukup</v>
          </cell>
        </row>
        <row r="184">
          <cell r="Z184" t="str">
            <v>75ada</v>
          </cell>
          <cell r="AA184">
            <v>75</v>
          </cell>
          <cell r="AB184" t="str">
            <v>ada</v>
          </cell>
          <cell r="AC184" t="str">
            <v>Cukup</v>
          </cell>
        </row>
        <row r="185">
          <cell r="Z185" t="str">
            <v>75tidak ada</v>
          </cell>
          <cell r="AA185">
            <v>75</v>
          </cell>
          <cell r="AB185" t="str">
            <v>tidak ada</v>
          </cell>
          <cell r="AC185" t="str">
            <v>Cukup</v>
          </cell>
        </row>
        <row r="186">
          <cell r="Z186" t="str">
            <v>76ada</v>
          </cell>
          <cell r="AA186">
            <v>76</v>
          </cell>
          <cell r="AB186" t="str">
            <v>ada</v>
          </cell>
          <cell r="AC186" t="str">
            <v>Cukup</v>
          </cell>
        </row>
        <row r="187">
          <cell r="Z187" t="str">
            <v>76tidak ada</v>
          </cell>
          <cell r="AA187">
            <v>76</v>
          </cell>
          <cell r="AB187" t="str">
            <v>tidak ada</v>
          </cell>
          <cell r="AC187" t="str">
            <v>Cukup</v>
          </cell>
        </row>
        <row r="188">
          <cell r="Z188" t="str">
            <v>77ada</v>
          </cell>
          <cell r="AA188">
            <v>77</v>
          </cell>
          <cell r="AB188" t="str">
            <v>ada</v>
          </cell>
          <cell r="AC188" t="str">
            <v>Cukup</v>
          </cell>
        </row>
        <row r="189">
          <cell r="Z189" t="str">
            <v>77tidak ada</v>
          </cell>
          <cell r="AA189">
            <v>77</v>
          </cell>
          <cell r="AB189" t="str">
            <v>tidak ada</v>
          </cell>
          <cell r="AC189" t="str">
            <v>Cukup</v>
          </cell>
        </row>
        <row r="190">
          <cell r="Z190" t="str">
            <v>78ada</v>
          </cell>
          <cell r="AA190">
            <v>78</v>
          </cell>
          <cell r="AB190" t="str">
            <v>ada</v>
          </cell>
          <cell r="AC190" t="str">
            <v>Cukup</v>
          </cell>
        </row>
        <row r="191">
          <cell r="Z191" t="str">
            <v>78tidak ada</v>
          </cell>
          <cell r="AA191">
            <v>78</v>
          </cell>
          <cell r="AB191" t="str">
            <v>tidak ada</v>
          </cell>
          <cell r="AC191" t="str">
            <v>Cukup</v>
          </cell>
        </row>
        <row r="192">
          <cell r="Z192" t="str">
            <v>79ada</v>
          </cell>
          <cell r="AA192">
            <v>79</v>
          </cell>
          <cell r="AB192" t="str">
            <v>ada</v>
          </cell>
          <cell r="AC192" t="str">
            <v>Cukup</v>
          </cell>
        </row>
        <row r="193">
          <cell r="Z193" t="str">
            <v>79tidak ada</v>
          </cell>
          <cell r="AA193">
            <v>79</v>
          </cell>
          <cell r="AB193" t="str">
            <v>tidak ada</v>
          </cell>
          <cell r="AC193" t="str">
            <v>Cukup</v>
          </cell>
        </row>
        <row r="194">
          <cell r="Z194" t="str">
            <v>7ada</v>
          </cell>
          <cell r="AA194">
            <v>7</v>
          </cell>
          <cell r="AB194" t="str">
            <v>ada</v>
          </cell>
          <cell r="AC194" t="str">
            <v>Sangat Kurang</v>
          </cell>
        </row>
        <row r="195">
          <cell r="Z195" t="str">
            <v>7tidak ada</v>
          </cell>
          <cell r="AA195">
            <v>7</v>
          </cell>
          <cell r="AB195" t="str">
            <v>tidak ada</v>
          </cell>
          <cell r="AC195" t="str">
            <v>Sangat Kurang</v>
          </cell>
        </row>
        <row r="196">
          <cell r="Z196" t="str">
            <v>80ada</v>
          </cell>
          <cell r="AA196">
            <v>80</v>
          </cell>
          <cell r="AB196" t="str">
            <v>ada</v>
          </cell>
          <cell r="AC196" t="str">
            <v>Cukup</v>
          </cell>
        </row>
        <row r="197">
          <cell r="Z197" t="str">
            <v>80tidak ada</v>
          </cell>
          <cell r="AA197">
            <v>80</v>
          </cell>
          <cell r="AB197" t="str">
            <v>tidak ada</v>
          </cell>
          <cell r="AC197" t="str">
            <v>Cukup</v>
          </cell>
        </row>
        <row r="198">
          <cell r="Z198" t="str">
            <v>81ada</v>
          </cell>
          <cell r="AA198">
            <v>81</v>
          </cell>
          <cell r="AB198" t="str">
            <v>ada</v>
          </cell>
          <cell r="AC198" t="str">
            <v>Cukup</v>
          </cell>
        </row>
        <row r="199">
          <cell r="Z199" t="str">
            <v>81tidak ada</v>
          </cell>
          <cell r="AA199">
            <v>81</v>
          </cell>
          <cell r="AB199" t="str">
            <v>tidak ada</v>
          </cell>
          <cell r="AC199" t="str">
            <v>Cukup</v>
          </cell>
        </row>
        <row r="200">
          <cell r="Z200" t="str">
            <v>82ada</v>
          </cell>
          <cell r="AA200">
            <v>82</v>
          </cell>
          <cell r="AB200" t="str">
            <v>ada</v>
          </cell>
          <cell r="AC200" t="str">
            <v>Cukup</v>
          </cell>
        </row>
        <row r="201">
          <cell r="Z201" t="str">
            <v>82tidak ada</v>
          </cell>
          <cell r="AA201">
            <v>82</v>
          </cell>
          <cell r="AB201" t="str">
            <v>tidak ada</v>
          </cell>
          <cell r="AC201" t="str">
            <v>Cukup</v>
          </cell>
        </row>
        <row r="202">
          <cell r="Z202" t="str">
            <v>83ada</v>
          </cell>
          <cell r="AA202">
            <v>83</v>
          </cell>
          <cell r="AB202" t="str">
            <v>ada</v>
          </cell>
          <cell r="AC202" t="str">
            <v>Cukup</v>
          </cell>
        </row>
        <row r="203">
          <cell r="Z203" t="str">
            <v>83tidak ada</v>
          </cell>
          <cell r="AA203">
            <v>83</v>
          </cell>
          <cell r="AB203" t="str">
            <v>tidak ada</v>
          </cell>
          <cell r="AC203" t="str">
            <v>Cukup</v>
          </cell>
        </row>
        <row r="204">
          <cell r="Z204" t="str">
            <v>84ada</v>
          </cell>
          <cell r="AA204">
            <v>84</v>
          </cell>
          <cell r="AB204" t="str">
            <v>ada</v>
          </cell>
          <cell r="AC204" t="str">
            <v>Cukup</v>
          </cell>
        </row>
        <row r="205">
          <cell r="Z205" t="str">
            <v>84tidak ada</v>
          </cell>
          <cell r="AA205">
            <v>84</v>
          </cell>
          <cell r="AB205" t="str">
            <v>tidak ada</v>
          </cell>
          <cell r="AC205" t="str">
            <v>Cukup</v>
          </cell>
        </row>
        <row r="206">
          <cell r="Z206" t="str">
            <v>85ada</v>
          </cell>
          <cell r="AA206">
            <v>85</v>
          </cell>
          <cell r="AB206" t="str">
            <v>ada</v>
          </cell>
          <cell r="AC206" t="str">
            <v>Cukup</v>
          </cell>
        </row>
        <row r="207">
          <cell r="Z207" t="str">
            <v>85tidak ada</v>
          </cell>
          <cell r="AA207">
            <v>85</v>
          </cell>
          <cell r="AB207" t="str">
            <v>tidak ada</v>
          </cell>
          <cell r="AC207" t="str">
            <v>Cukup</v>
          </cell>
        </row>
        <row r="208">
          <cell r="Z208" t="str">
            <v>86ada</v>
          </cell>
          <cell r="AA208">
            <v>86</v>
          </cell>
          <cell r="AB208" t="str">
            <v>ada</v>
          </cell>
          <cell r="AC208" t="str">
            <v>Cukup</v>
          </cell>
        </row>
        <row r="209">
          <cell r="Z209" t="str">
            <v>86tidak ada</v>
          </cell>
          <cell r="AA209">
            <v>86</v>
          </cell>
          <cell r="AB209" t="str">
            <v>tidak ada</v>
          </cell>
          <cell r="AC209" t="str">
            <v>Cukup</v>
          </cell>
        </row>
        <row r="210">
          <cell r="Z210" t="str">
            <v>87ada</v>
          </cell>
          <cell r="AA210">
            <v>87</v>
          </cell>
          <cell r="AB210" t="str">
            <v>ada</v>
          </cell>
          <cell r="AC210" t="str">
            <v>Cukup</v>
          </cell>
        </row>
        <row r="211">
          <cell r="Z211" t="str">
            <v>87tidak ada</v>
          </cell>
          <cell r="AA211">
            <v>87</v>
          </cell>
          <cell r="AB211" t="str">
            <v>tidak ada</v>
          </cell>
          <cell r="AC211" t="str">
            <v>Cukup</v>
          </cell>
        </row>
        <row r="212">
          <cell r="Z212" t="str">
            <v>88ada</v>
          </cell>
          <cell r="AA212">
            <v>88</v>
          </cell>
          <cell r="AB212" t="str">
            <v>ada</v>
          </cell>
          <cell r="AC212" t="str">
            <v>Cukup</v>
          </cell>
        </row>
        <row r="213">
          <cell r="Z213" t="str">
            <v>88tidak ada</v>
          </cell>
          <cell r="AA213">
            <v>88</v>
          </cell>
          <cell r="AB213" t="str">
            <v>tidak ada</v>
          </cell>
          <cell r="AC213" t="str">
            <v>Cukup</v>
          </cell>
        </row>
        <row r="214">
          <cell r="Z214" t="str">
            <v>89ada</v>
          </cell>
          <cell r="AA214">
            <v>89</v>
          </cell>
          <cell r="AB214" t="str">
            <v>ada</v>
          </cell>
          <cell r="AC214" t="str">
            <v>Cukup</v>
          </cell>
        </row>
        <row r="215">
          <cell r="Z215" t="str">
            <v>89tidak ada</v>
          </cell>
          <cell r="AA215">
            <v>89</v>
          </cell>
          <cell r="AB215" t="str">
            <v>tidak ada</v>
          </cell>
          <cell r="AC215" t="str">
            <v>Cukup</v>
          </cell>
        </row>
        <row r="216">
          <cell r="Z216" t="str">
            <v>8ada</v>
          </cell>
          <cell r="AA216">
            <v>8</v>
          </cell>
          <cell r="AB216" t="str">
            <v>ada</v>
          </cell>
          <cell r="AC216" t="str">
            <v>Sangat Kurang</v>
          </cell>
        </row>
        <row r="217">
          <cell r="Z217" t="str">
            <v>8tidak ada</v>
          </cell>
          <cell r="AA217">
            <v>8</v>
          </cell>
          <cell r="AB217" t="str">
            <v>tidak ada</v>
          </cell>
          <cell r="AC217" t="str">
            <v>Sangat Kurang</v>
          </cell>
        </row>
        <row r="218">
          <cell r="Z218" t="str">
            <v>90ada</v>
          </cell>
          <cell r="AA218">
            <v>90</v>
          </cell>
          <cell r="AB218" t="str">
            <v>ada</v>
          </cell>
          <cell r="AC218" t="str">
            <v>Baik</v>
          </cell>
        </row>
        <row r="219">
          <cell r="Z219" t="str">
            <v>90tidak ada</v>
          </cell>
          <cell r="AA219">
            <v>90</v>
          </cell>
          <cell r="AB219" t="str">
            <v>tidak ada</v>
          </cell>
          <cell r="AC219" t="str">
            <v>Baik</v>
          </cell>
        </row>
        <row r="220">
          <cell r="Z220" t="str">
            <v>91ada</v>
          </cell>
          <cell r="AA220">
            <v>91</v>
          </cell>
          <cell r="AB220" t="str">
            <v>ada</v>
          </cell>
          <cell r="AC220" t="str">
            <v>Baik</v>
          </cell>
        </row>
        <row r="221">
          <cell r="Z221" t="str">
            <v>91tidak ada</v>
          </cell>
          <cell r="AA221">
            <v>91</v>
          </cell>
          <cell r="AB221" t="str">
            <v>tidak ada</v>
          </cell>
          <cell r="AC221" t="str">
            <v>Baik</v>
          </cell>
        </row>
        <row r="222">
          <cell r="Z222" t="str">
            <v>92ada</v>
          </cell>
          <cell r="AA222">
            <v>92</v>
          </cell>
          <cell r="AB222" t="str">
            <v>ada</v>
          </cell>
          <cell r="AC222" t="str">
            <v>Baik</v>
          </cell>
        </row>
        <row r="223">
          <cell r="Z223" t="str">
            <v>92tidak ada</v>
          </cell>
          <cell r="AA223">
            <v>92</v>
          </cell>
          <cell r="AB223" t="str">
            <v>tidak ada</v>
          </cell>
          <cell r="AC223" t="str">
            <v>Baik</v>
          </cell>
        </row>
        <row r="224">
          <cell r="Z224" t="str">
            <v>93ada</v>
          </cell>
          <cell r="AA224">
            <v>93</v>
          </cell>
          <cell r="AB224" t="str">
            <v>ada</v>
          </cell>
          <cell r="AC224" t="str">
            <v>Baik</v>
          </cell>
        </row>
        <row r="225">
          <cell r="Z225" t="str">
            <v>93tidak ada</v>
          </cell>
          <cell r="AA225">
            <v>93</v>
          </cell>
          <cell r="AB225" t="str">
            <v>tidak ada</v>
          </cell>
          <cell r="AC225" t="str">
            <v>Baik</v>
          </cell>
        </row>
        <row r="226">
          <cell r="Z226" t="str">
            <v>94ada</v>
          </cell>
          <cell r="AA226">
            <v>94</v>
          </cell>
          <cell r="AB226" t="str">
            <v>ada</v>
          </cell>
          <cell r="AC226" t="str">
            <v>Baik</v>
          </cell>
        </row>
        <row r="227">
          <cell r="Z227" t="str">
            <v>94tidak ada</v>
          </cell>
          <cell r="AA227">
            <v>94</v>
          </cell>
          <cell r="AB227" t="str">
            <v>tidak ada</v>
          </cell>
          <cell r="AC227" t="str">
            <v>Baik</v>
          </cell>
        </row>
        <row r="228">
          <cell r="Z228" t="str">
            <v>95ada</v>
          </cell>
          <cell r="AA228">
            <v>95</v>
          </cell>
          <cell r="AB228" t="str">
            <v>ada</v>
          </cell>
          <cell r="AC228" t="str">
            <v>Baik</v>
          </cell>
        </row>
        <row r="229">
          <cell r="Z229" t="str">
            <v>95tidak ada</v>
          </cell>
          <cell r="AA229">
            <v>95</v>
          </cell>
          <cell r="AB229" t="str">
            <v>tidak ada</v>
          </cell>
          <cell r="AC229" t="str">
            <v>Baik</v>
          </cell>
        </row>
        <row r="230">
          <cell r="Z230" t="str">
            <v>96ada</v>
          </cell>
          <cell r="AA230">
            <v>96</v>
          </cell>
          <cell r="AB230" t="str">
            <v>ada</v>
          </cell>
          <cell r="AC230" t="str">
            <v>Baik</v>
          </cell>
        </row>
        <row r="231">
          <cell r="Z231" t="str">
            <v>96tidak ada</v>
          </cell>
          <cell r="AA231">
            <v>96</v>
          </cell>
          <cell r="AB231" t="str">
            <v>tidak ada</v>
          </cell>
          <cell r="AC231" t="str">
            <v>Baik</v>
          </cell>
        </row>
        <row r="232">
          <cell r="Z232" t="str">
            <v>97ada</v>
          </cell>
          <cell r="AA232">
            <v>97</v>
          </cell>
          <cell r="AB232" t="str">
            <v>ada</v>
          </cell>
          <cell r="AC232" t="str">
            <v>Baik</v>
          </cell>
        </row>
        <row r="233">
          <cell r="Z233" t="str">
            <v>97tidak ada</v>
          </cell>
          <cell r="AA233">
            <v>97</v>
          </cell>
          <cell r="AB233" t="str">
            <v>tidak ada</v>
          </cell>
          <cell r="AC233" t="str">
            <v>Baik</v>
          </cell>
        </row>
        <row r="234">
          <cell r="Z234" t="str">
            <v>98ada</v>
          </cell>
          <cell r="AA234">
            <v>98</v>
          </cell>
          <cell r="AB234" t="str">
            <v>ada</v>
          </cell>
          <cell r="AC234" t="str">
            <v>Baik</v>
          </cell>
        </row>
        <row r="235">
          <cell r="Z235" t="str">
            <v>98tidak ada</v>
          </cell>
          <cell r="AA235">
            <v>98</v>
          </cell>
          <cell r="AB235" t="str">
            <v>tidak ada</v>
          </cell>
          <cell r="AC235" t="str">
            <v>Baik</v>
          </cell>
        </row>
        <row r="236">
          <cell r="Z236" t="str">
            <v>99ada</v>
          </cell>
          <cell r="AA236">
            <v>99</v>
          </cell>
          <cell r="AB236" t="str">
            <v>ada</v>
          </cell>
          <cell r="AC236" t="str">
            <v>Baik</v>
          </cell>
        </row>
        <row r="237">
          <cell r="Z237" t="str">
            <v>99tidak ada</v>
          </cell>
          <cell r="AA237">
            <v>99</v>
          </cell>
          <cell r="AB237" t="str">
            <v>tidak ada</v>
          </cell>
          <cell r="AC237" t="str">
            <v>Baik</v>
          </cell>
        </row>
        <row r="238">
          <cell r="Z238" t="str">
            <v>9ada</v>
          </cell>
          <cell r="AA238">
            <v>9</v>
          </cell>
          <cell r="AB238" t="str">
            <v>ada</v>
          </cell>
          <cell r="AC238" t="str">
            <v>Sangat Kurang</v>
          </cell>
        </row>
        <row r="239">
          <cell r="Z239" t="str">
            <v>9tidak ada</v>
          </cell>
          <cell r="AA239">
            <v>9</v>
          </cell>
          <cell r="AB239" t="str">
            <v>tidak ada</v>
          </cell>
          <cell r="AC239" t="str">
            <v>Sangat Kurang</v>
          </cell>
        </row>
      </sheetData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ilaian SKP JA PENGEMB"/>
      <sheetName val="COVER"/>
      <sheetName val="DATA 1"/>
      <sheetName val="SKP"/>
      <sheetName val="PENGUKURAN"/>
      <sheetName val="PERILAKU KERJA"/>
      <sheetName val="Penilaian Prestasi"/>
      <sheetName val="Konversi Nilai"/>
      <sheetName val="DATA PNS"/>
      <sheetName val="RENCANA SKP"/>
      <sheetName val="KEGIATAN GURU"/>
      <sheetName val="KETERKAITAN JF"/>
      <sheetName val="REVIEW RENCANA SKP"/>
      <sheetName val="PENETAPAN SKP"/>
      <sheetName val="PENILAIAN SKP"/>
      <sheetName val="Penilaian Perilaku"/>
      <sheetName val="Penilaian Kinerja"/>
      <sheetName val="Laporan DPK"/>
      <sheetName val="Integrasi Nilai"/>
      <sheetName val="DPK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0">
          <cell r="AC10" t="str">
            <v>Guru</v>
          </cell>
        </row>
        <row r="11">
          <cell r="AC11" t="str">
            <v>Kepala Sekolah</v>
          </cell>
        </row>
        <row r="12">
          <cell r="AC12" t="str">
            <v>Wakil Kepala Sekolah</v>
          </cell>
        </row>
        <row r="13">
          <cell r="AC13" t="str">
            <v>Ketua Program Keahlian</v>
          </cell>
        </row>
        <row r="14">
          <cell r="AC14" t="str">
            <v>Kepala Perpustakaan</v>
          </cell>
        </row>
        <row r="15">
          <cell r="AC15" t="str">
            <v>Kepala Laboratorium</v>
          </cell>
        </row>
        <row r="16">
          <cell r="AC16" t="str">
            <v>Kepala Bengkel</v>
          </cell>
        </row>
        <row r="17">
          <cell r="AC17" t="str">
            <v>Kepala Unit Produksi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ilaian SKP JA PENGEMB"/>
      <sheetName val="COVER"/>
      <sheetName val="DATA 1"/>
      <sheetName val="SKP"/>
      <sheetName val="PENGUKURAN"/>
      <sheetName val="PERILAKU KERJA"/>
      <sheetName val="Penilaian Prestasi"/>
      <sheetName val="Konversi Nilai"/>
      <sheetName val="DATA PNS"/>
      <sheetName val="RENCANA SKP"/>
      <sheetName val="KEGIATAN GURU"/>
      <sheetName val="KETERKAITAN JF"/>
      <sheetName val="REVIEW RENCANA SKP"/>
      <sheetName val="PENETAPAN SKP"/>
      <sheetName val="PENILAIAN SKP"/>
      <sheetName val="Penilaian Perilaku"/>
      <sheetName val="Penilaian Kinerja"/>
      <sheetName val="Laporan DPK"/>
      <sheetName val="Integrasi Nil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E3" t="str">
            <v>Madrasah Tsanawiyah Negeri 7 Sleman</v>
          </cell>
        </row>
      </sheetData>
      <sheetData sheetId="9">
        <row r="16">
          <cell r="A16">
            <v>1</v>
          </cell>
        </row>
        <row r="72">
          <cell r="A72">
            <v>1</v>
          </cell>
        </row>
      </sheetData>
      <sheetData sheetId="10">
        <row r="10">
          <cell r="AC10" t="str">
            <v>Guru</v>
          </cell>
        </row>
        <row r="11">
          <cell r="AC11" t="str">
            <v>Kepala Sekolah</v>
          </cell>
        </row>
        <row r="12">
          <cell r="AC12" t="str">
            <v>Wakil Kepala Sekolah</v>
          </cell>
        </row>
        <row r="13">
          <cell r="AC13" t="str">
            <v>Ketua Program Keahlian</v>
          </cell>
        </row>
        <row r="14">
          <cell r="AC14" t="str">
            <v>Kepala Perpustakaan</v>
          </cell>
        </row>
        <row r="15">
          <cell r="AC15" t="str">
            <v>Kepala Laboratorium</v>
          </cell>
        </row>
        <row r="16">
          <cell r="AC16" t="str">
            <v>Kepala Bengkel</v>
          </cell>
        </row>
        <row r="17">
          <cell r="AC17" t="str">
            <v>Kepala Unit Produksi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MA"/>
      <sheetName val="MENU1"/>
      <sheetName val="MENU2"/>
      <sheetName val="MENU"/>
      <sheetName val="DATA PROSES"/>
      <sheetName val="DATA PROSES1"/>
      <sheetName val="DATA PROSES2"/>
      <sheetName val="DATA SKP"/>
      <sheetName val="DATA SKP1"/>
      <sheetName val="DATA SKP2"/>
      <sheetName val="COVER"/>
      <sheetName val="COVER1"/>
      <sheetName val="COVER2"/>
      <sheetName val="FORM SKP"/>
      <sheetName val="FORM SKP1"/>
      <sheetName val="FORM SKP2"/>
      <sheetName val="PENGUKURAN SKP"/>
      <sheetName val="PENGUKURAN SKP1"/>
      <sheetName val="PENGUKURAN SKP2"/>
      <sheetName val="PERILAKU"/>
      <sheetName val="PERILAKU1"/>
      <sheetName val="PERILAKU2"/>
      <sheetName val="PENILAIAN"/>
      <sheetName val="PENILAIAN1"/>
      <sheetName val="PENILAIAN GAB"/>
      <sheetName val="AK"/>
      <sheetName val="PERILAKU GAB"/>
      <sheetName val="KEGIATAN GURU"/>
      <sheetName val="PERILAKU KERJA"/>
      <sheetName val="AUTHOR"/>
    </sheetNames>
    <sheetDataSet>
      <sheetData sheetId="0"/>
      <sheetData sheetId="1"/>
      <sheetData sheetId="2"/>
      <sheetData sheetId="3"/>
      <sheetData sheetId="4"/>
      <sheetData sheetId="5">
        <row r="3">
          <cell r="E3" t="str">
            <v>2 Maret 2019</v>
          </cell>
        </row>
      </sheetData>
      <sheetData sheetId="6"/>
      <sheetData sheetId="7">
        <row r="5">
          <cell r="AA5" t="str">
            <v>-</v>
          </cell>
          <cell r="AB5" t="str">
            <v>-</v>
          </cell>
        </row>
        <row r="6">
          <cell r="AA6" t="str">
            <v>Penata Muda, Gol. III/a</v>
          </cell>
          <cell r="AB6" t="str">
            <v>Guru Pertama</v>
          </cell>
        </row>
        <row r="7">
          <cell r="AA7" t="str">
            <v>Penata Muda Tk, I, Gol. III/b</v>
          </cell>
          <cell r="AB7" t="str">
            <v>Guru Pertama</v>
          </cell>
        </row>
        <row r="8">
          <cell r="AA8" t="str">
            <v>Penata, Gol. III/c</v>
          </cell>
          <cell r="AB8" t="str">
            <v>Guru Muda</v>
          </cell>
        </row>
        <row r="9">
          <cell r="AA9" t="str">
            <v>Penata Tk. I, Gol. III/d</v>
          </cell>
          <cell r="AB9" t="str">
            <v>Guru Muda</v>
          </cell>
        </row>
        <row r="10">
          <cell r="AA10" t="str">
            <v>Pembina, Gol. IV/a</v>
          </cell>
          <cell r="AB10" t="str">
            <v>Guru Madya</v>
          </cell>
        </row>
        <row r="11">
          <cell r="AA11" t="str">
            <v>Pembina Tk. I, Gol. IV/b</v>
          </cell>
          <cell r="AB11" t="str">
            <v>Guru Madya</v>
          </cell>
        </row>
        <row r="12">
          <cell r="AA12" t="str">
            <v>Pembina Utama Muda, Gol. IV/c</v>
          </cell>
          <cell r="AB12" t="str">
            <v>Guru Madya</v>
          </cell>
        </row>
        <row r="13">
          <cell r="AA13" t="str">
            <v>Pembina Utama Madya, Gol. IV/d</v>
          </cell>
          <cell r="AB13" t="str">
            <v>Guru Utama</v>
          </cell>
        </row>
        <row r="14">
          <cell r="AA14" t="str">
            <v>Pembina Utama, Gol. IV/e</v>
          </cell>
          <cell r="AB14" t="str">
            <v>Guru Utama</v>
          </cell>
        </row>
      </sheetData>
      <sheetData sheetId="8">
        <row r="5">
          <cell r="D5" t="str">
            <v>NIP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B11" t="str">
            <v>Kode</v>
          </cell>
          <cell r="C11" t="str">
            <v>Kegiatan</v>
          </cell>
          <cell r="T11" t="str">
            <v>AK</v>
          </cell>
        </row>
        <row r="12">
          <cell r="B12" t="str">
            <v>00</v>
          </cell>
          <cell r="C12" t="str">
            <v>-</v>
          </cell>
        </row>
        <row r="13">
          <cell r="B13" t="str">
            <v>05</v>
          </cell>
          <cell r="C13" t="str">
            <v>Merencanakan dan melaksanakan pembelajaran, mengevaluasi dan menilai hasil pembelajaran, menganalisis hasil pembelajaran, melaksanakan tindak lanjut hasil penilaian. (05)</v>
          </cell>
          <cell r="T13">
            <v>29.75</v>
          </cell>
        </row>
        <row r="14">
          <cell r="B14" t="str">
            <v>06</v>
          </cell>
          <cell r="C14" t="str">
            <v>Merencanakan dan melaksanakan pembimbingan, mengevaluasi dan menilai hasil pembimbingan, menganalisis hasil pembimbingan, melaksanakan tindak lanjut hasil pembimbingan. (06)</v>
          </cell>
          <cell r="T14">
            <v>29.75</v>
          </cell>
        </row>
        <row r="15">
          <cell r="B15" t="str">
            <v>07</v>
          </cell>
          <cell r="C15" t="str">
            <v>Menjadi Kepala Sekolah/Madrasah. (07)</v>
          </cell>
          <cell r="T15" t="str">
            <v>-</v>
          </cell>
        </row>
        <row r="16">
          <cell r="B16" t="str">
            <v>08</v>
          </cell>
          <cell r="C16" t="str">
            <v>Menjadi Wakil Kepala Sekolah/Madrasah. (08)</v>
          </cell>
          <cell r="T16" t="str">
            <v>-</v>
          </cell>
        </row>
        <row r="17">
          <cell r="B17" t="str">
            <v>09</v>
          </cell>
          <cell r="C17" t="str">
            <v>Menjadi ketua program keahlian/program studi atau yang sejenisnya. (09)</v>
          </cell>
          <cell r="T17" t="str">
            <v>-</v>
          </cell>
        </row>
        <row r="18">
          <cell r="B18" t="str">
            <v>10</v>
          </cell>
          <cell r="C18" t="str">
            <v>Menjadi kepala perpustakaan. (10)</v>
          </cell>
          <cell r="T18" t="str">
            <v>-</v>
          </cell>
        </row>
        <row r="19">
          <cell r="B19" t="str">
            <v>11.a</v>
          </cell>
          <cell r="C19" t="str">
            <v>Kepala Laboratorium (11.a)</v>
          </cell>
          <cell r="T19" t="str">
            <v>-</v>
          </cell>
        </row>
        <row r="20">
          <cell r="B20" t="str">
            <v>11.b</v>
          </cell>
          <cell r="C20" t="str">
            <v>Kepala Bengkel (11.b)</v>
          </cell>
          <cell r="T20" t="str">
            <v>-</v>
          </cell>
        </row>
        <row r="21">
          <cell r="B21" t="str">
            <v>11.c</v>
          </cell>
          <cell r="C21" t="str">
            <v>Kepala Unit Produksi. (11.c)</v>
          </cell>
          <cell r="T21" t="str">
            <v>-</v>
          </cell>
        </row>
        <row r="22">
          <cell r="B22" t="str">
            <v>12</v>
          </cell>
          <cell r="C22" t="str">
            <v>Menjadi pembimbing khusus pada satuan pendidikan yang menyelenggarakan pendidikan inklusi, pendidikan terpadu atau yang sejenisnya. (12)</v>
          </cell>
          <cell r="T22">
            <v>1.4875</v>
          </cell>
        </row>
        <row r="23">
          <cell r="B23" t="str">
            <v>13</v>
          </cell>
          <cell r="C23" t="str">
            <v>Menjadi wali kelas. (13)</v>
          </cell>
          <cell r="T23">
            <v>1.4875</v>
          </cell>
        </row>
        <row r="24">
          <cell r="B24" t="str">
            <v>14</v>
          </cell>
          <cell r="C24" t="str">
            <v>Menyusun kurikulum pada satuan pendidikannya. (14)</v>
          </cell>
          <cell r="T24">
            <v>0.59499999999999997</v>
          </cell>
        </row>
        <row r="25">
          <cell r="B25" t="str">
            <v>15</v>
          </cell>
          <cell r="C25" t="str">
            <v>Menjadi pengawas penilaian dan evaluasi terhadap  proses dan hasil belajar. (15)</v>
          </cell>
          <cell r="T25">
            <v>0.59499999999999997</v>
          </cell>
        </row>
        <row r="26">
          <cell r="B26" t="str">
            <v>15.a</v>
          </cell>
          <cell r="C26" t="str">
            <v>Membimbing guru pemula dalam program induksi. (15.a)</v>
          </cell>
          <cell r="T26">
            <v>1.4875</v>
          </cell>
        </row>
        <row r="27">
          <cell r="B27" t="str">
            <v>16</v>
          </cell>
          <cell r="C27" t="str">
            <v>Membimbing siswa dalam kegiatan ekstrakurikuler. (16)</v>
          </cell>
          <cell r="T27">
            <v>1.4875</v>
          </cell>
        </row>
        <row r="28">
          <cell r="B28" t="str">
            <v>17</v>
          </cell>
          <cell r="C28" t="str">
            <v>Menjadi pembimbing pada penyusunan publikasi ilmiah dan karya inovatif. (17)</v>
          </cell>
          <cell r="T28">
            <v>0.59499999999999997</v>
          </cell>
        </row>
        <row r="29">
          <cell r="B29" t="str">
            <v>18</v>
          </cell>
          <cell r="C29" t="str">
            <v>Melaksanakan pembimbingan pada kelas yang menjadi tanggungjawabnya (khusus Guru Kelas). (18)</v>
          </cell>
          <cell r="T29">
            <v>1.4875</v>
          </cell>
        </row>
        <row r="30">
          <cell r="B30" t="str">
            <v>19</v>
          </cell>
          <cell r="C30" t="str">
            <v>Mengikuti diklat fungsional, lamanya lebih dari 960 jam. (19)</v>
          </cell>
          <cell r="T30">
            <v>15</v>
          </cell>
        </row>
        <row r="31">
          <cell r="B31" t="str">
            <v>20</v>
          </cell>
          <cell r="C31" t="str">
            <v>Mengikuti diklat fungsional, lamanya antara 641 s.d 960 jam. (20)</v>
          </cell>
          <cell r="T31">
            <v>9</v>
          </cell>
        </row>
        <row r="32">
          <cell r="B32" t="str">
            <v>21</v>
          </cell>
          <cell r="C32" t="str">
            <v>Mengikuti diklat fungsional, lamanya antara 481 s.d 640 jam. (21)</v>
          </cell>
          <cell r="T32">
            <v>6</v>
          </cell>
        </row>
        <row r="33">
          <cell r="B33" t="str">
            <v>22</v>
          </cell>
          <cell r="C33" t="str">
            <v>Mengikuti diklat fungsional, lamanya antara 181 s.d 480 jam. (22)</v>
          </cell>
          <cell r="T33">
            <v>3</v>
          </cell>
        </row>
        <row r="34">
          <cell r="B34" t="str">
            <v>23</v>
          </cell>
          <cell r="C34" t="str">
            <v>Mengikuti diklat fungsional, lamanya antara 81 s.d 180 jam. (23)</v>
          </cell>
          <cell r="T34">
            <v>2</v>
          </cell>
        </row>
        <row r="35">
          <cell r="B35" t="str">
            <v>24</v>
          </cell>
          <cell r="C35" t="str">
            <v>Mengikuti diklat fungsional, lamanya antara 30 s.d 80 jam. (24)</v>
          </cell>
          <cell r="T35">
            <v>1</v>
          </cell>
        </row>
        <row r="36">
          <cell r="B36" t="str">
            <v>25</v>
          </cell>
          <cell r="C36" t="str">
            <v>Mengikuti lokakarya atau kegiatan bersama (seperti kelompok kerja guru) untuk penyusunan perangkat kurikulum dan atau pembelajaran. (25)</v>
          </cell>
          <cell r="T36">
            <v>0.15</v>
          </cell>
        </row>
        <row r="37">
          <cell r="B37" t="str">
            <v>26</v>
          </cell>
          <cell r="C37" t="str">
            <v>Menjadi pembahas pada kegiatan ilmiah. (26)</v>
          </cell>
          <cell r="T37">
            <v>0.2</v>
          </cell>
        </row>
        <row r="38">
          <cell r="B38" t="str">
            <v>27</v>
          </cell>
          <cell r="C38" t="str">
            <v>Menjadi peserta pada kegiatan ilmiah. (27)</v>
          </cell>
          <cell r="T38">
            <v>0.1</v>
          </cell>
        </row>
        <row r="39">
          <cell r="B39" t="str">
            <v>28</v>
          </cell>
          <cell r="C39" t="str">
            <v>Kegiatan kolektif lainnya yang sesuai dengan tugas dan kewajiban guru. (28)</v>
          </cell>
          <cell r="T39">
            <v>0.1</v>
          </cell>
        </row>
        <row r="40">
          <cell r="B40" t="str">
            <v>29</v>
          </cell>
          <cell r="C40" t="str">
            <v>Menjadi pemrasaran/nara sumber pada seminar atau lokakarya ilmiah. (29)</v>
          </cell>
          <cell r="T40">
            <v>0.2</v>
          </cell>
        </row>
        <row r="41">
          <cell r="B41" t="str">
            <v>30</v>
          </cell>
          <cell r="C41" t="str">
            <v>Menjadi pemrasaran/nara sumber pada koloqium atau diskusi ilmiah. (30)</v>
          </cell>
          <cell r="T41">
            <v>0.2</v>
          </cell>
        </row>
        <row r="42">
          <cell r="B42" t="str">
            <v>31</v>
          </cell>
          <cell r="C42" t="str">
            <v>Membuat karya tulis berupa laporan hasil penelitian pada bidang pendidikan di sekolahnya, diterbitkan/dipublikasikan dalam bentuk buku ber ISBN dan diedarkan secara nasional atau telah lulus dari penilaian BNSP. (31)</v>
          </cell>
          <cell r="T42">
            <v>4</v>
          </cell>
        </row>
        <row r="43">
          <cell r="B43" t="str">
            <v>32</v>
          </cell>
          <cell r="C43" t="str">
            <v>Membuat karya tulis berupa laporan hasil penelitian pada bidang pendidikan di sekolahnya, diterbitkan/dipublikasikan dalam majalah/jurnal ilmiah tingkat nasional yang terakreditasi. (32)</v>
          </cell>
          <cell r="T43">
            <v>3</v>
          </cell>
        </row>
        <row r="44">
          <cell r="B44" t="str">
            <v>33</v>
          </cell>
          <cell r="C44" t="str">
            <v>Membuat karya tulis berupa laporan hasil penelitian pada bidang pendidikan di sekolahnya, diterbitkan/dipublikasikan dalam majalah/jurnal ilmiah tingkat provinsi. (33)</v>
          </cell>
          <cell r="T44">
            <v>2</v>
          </cell>
        </row>
        <row r="45">
          <cell r="B45" t="str">
            <v>34</v>
          </cell>
          <cell r="C45" t="str">
            <v>Membuat karya tulis berupa laporan hasil penelitian pada bidang pendidikan di sekolahnya, diterbitkan/dipublikasikan dalam majalah ilmiah tingkat kabupaten/ kota. (34)</v>
          </cell>
          <cell r="T45">
            <v>1</v>
          </cell>
        </row>
        <row r="46">
          <cell r="B46" t="str">
            <v>35</v>
          </cell>
          <cell r="C46" t="str">
            <v>Membuat karya tulis berupa laporan hasil penelitian pada bidang pendidikan di sekolahnya, diseminarkan di sekolahnya, disimpan di perpustakaan. (35)</v>
          </cell>
          <cell r="T46">
            <v>4</v>
          </cell>
        </row>
        <row r="47">
          <cell r="B47" t="str">
            <v>36</v>
          </cell>
          <cell r="C47" t="str">
            <v>Membuat makalah berupa tinjauan ilmiah dalam bidang pendidikan formal dan pembelajaran pada satuan pendidikannya, tidak diterbitkan,  disimpan di perpustakaan. (36)</v>
          </cell>
          <cell r="T47">
            <v>2</v>
          </cell>
        </row>
        <row r="48">
          <cell r="B48" t="str">
            <v>37</v>
          </cell>
          <cell r="C48" t="str">
            <v>Membuat artikel ilmiah populer di bidang pendidikan formal dan pembelajaran pada satuan pendidikannya dimuat di media masa tingkat nasional. (37)</v>
          </cell>
          <cell r="T48">
            <v>2</v>
          </cell>
        </row>
        <row r="49">
          <cell r="B49" t="str">
            <v>38</v>
          </cell>
          <cell r="C49" t="str">
            <v>Membuat artikel ilmiah populer di bidang pendidikan formal dan pembelajaran pada satuan pendidikannya dimuat di media masa tingkat provinsi (koran daerah). (38)</v>
          </cell>
          <cell r="T49">
            <v>1.5</v>
          </cell>
        </row>
        <row r="50">
          <cell r="B50" t="str">
            <v>39</v>
          </cell>
          <cell r="C50" t="str">
            <v>Membuat artikel ilmiah dalam bidang pendidikan formal dan pembelajaran pada satuan pendidikannya dan dimuat di jurnal tingkat nasional yang terakreditasi. (39)</v>
          </cell>
          <cell r="T50">
            <v>2</v>
          </cell>
        </row>
        <row r="51">
          <cell r="B51" t="str">
            <v>40</v>
          </cell>
          <cell r="C51" t="str">
            <v>Membuat artikel ilmiah dalam bidang pendidikan formal dan pembelajaran pada satuan pendidikannya dan dimuat di jurnal tingkat nasional yang tidak  terakreditasi/tingkat propvinsi. (40)</v>
          </cell>
          <cell r="T51">
            <v>1.5</v>
          </cell>
        </row>
        <row r="52">
          <cell r="B52" t="str">
            <v>41</v>
          </cell>
          <cell r="C52" t="str">
            <v>Membuat artikel ilmiah dalam bidang pendidikan formal dan pembelajaran pada satuan pendidikannya dan dimuat di jurnal tingkat lokal (kabupaten/kota/ sekolah/madrasah dstnya). (41)</v>
          </cell>
          <cell r="T52">
            <v>1</v>
          </cell>
        </row>
        <row r="53">
          <cell r="B53" t="str">
            <v>42</v>
          </cell>
          <cell r="C53" t="str">
            <v>Membuat buku  pelajaran/buku pendidikan yang lolos penilaian oleh BSNP. (42)</v>
          </cell>
          <cell r="T53">
            <v>6</v>
          </cell>
        </row>
        <row r="54">
          <cell r="B54" t="str">
            <v>43</v>
          </cell>
          <cell r="C54" t="str">
            <v>Membuat buku pelajaran yang dicetak oleh penerbit dan ber-ISBN. (43)</v>
          </cell>
          <cell r="T54">
            <v>3</v>
          </cell>
        </row>
        <row r="55">
          <cell r="B55" t="str">
            <v>44</v>
          </cell>
          <cell r="C55" t="str">
            <v>Membuat buku pelajaran dicetak oleh penerbit  tetapi belum ber-ISBN. (44)</v>
          </cell>
          <cell r="T55">
            <v>1</v>
          </cell>
        </row>
        <row r="56">
          <cell r="B56" t="str">
            <v>45</v>
          </cell>
          <cell r="C56" t="str">
            <v>Membuat modul/diktat pelajaran yang digunakan di tingkat  Provinsi dengan pengesahan Dinas Pendidikan Provinsi. (45)</v>
          </cell>
          <cell r="T56">
            <v>1.5</v>
          </cell>
        </row>
        <row r="57">
          <cell r="B57" t="str">
            <v>46</v>
          </cell>
          <cell r="C57" t="str">
            <v>Membuat modul/diktat pelajaran yang digunakan di tingkat kota/kabupaten dengan pengesahan Dinas Pendidikan Kota/Kabupaten. (46)</v>
          </cell>
          <cell r="T57">
            <v>1</v>
          </cell>
        </row>
        <row r="58">
          <cell r="B58" t="str">
            <v>47</v>
          </cell>
          <cell r="C58" t="str">
            <v>Membuat modul/diktat pelajaran yang digunakan di tingkat sekolah/madrasah setempat. (47)</v>
          </cell>
          <cell r="T58">
            <v>0.5</v>
          </cell>
        </row>
        <row r="59">
          <cell r="B59" t="str">
            <v>48</v>
          </cell>
          <cell r="C59" t="str">
            <v>Membuat buku dalam bidang pendidikan dan dicetak oleh penerbit dan ber-ISBN. (48)</v>
          </cell>
          <cell r="T59">
            <v>3</v>
          </cell>
        </row>
        <row r="60">
          <cell r="B60" t="str">
            <v>49</v>
          </cell>
          <cell r="C60" t="str">
            <v>Membuat buku dalam bidang pendidikan dan dicetak oleh penerbit tetapi belum ber-ISBN. (49)</v>
          </cell>
          <cell r="T60">
            <v>1.5</v>
          </cell>
        </row>
        <row r="61">
          <cell r="B61" t="str">
            <v>50</v>
          </cell>
          <cell r="C61" t="str">
            <v>Membuat karya hasil terjemahan yang dinyatakan oleh kepala sekolah/madrasah. (50)</v>
          </cell>
          <cell r="T61">
            <v>1</v>
          </cell>
        </row>
        <row r="62">
          <cell r="B62" t="str">
            <v>51</v>
          </cell>
          <cell r="C62" t="str">
            <v>Membuat buku pedoman guru. (51)</v>
          </cell>
          <cell r="T62">
            <v>1.5</v>
          </cell>
        </row>
        <row r="63">
          <cell r="B63" t="str">
            <v>52</v>
          </cell>
          <cell r="C63" t="str">
            <v>Menemukan teknologi tepatguna kategori kompleks. (52)</v>
          </cell>
          <cell r="T63">
            <v>4</v>
          </cell>
        </row>
        <row r="64">
          <cell r="B64" t="str">
            <v>53</v>
          </cell>
          <cell r="C64" t="str">
            <v>Menemukan teknologi tepatguna kategori sederhana. (53)</v>
          </cell>
          <cell r="T64">
            <v>2</v>
          </cell>
        </row>
        <row r="65">
          <cell r="B65" t="str">
            <v>54</v>
          </cell>
          <cell r="C65" t="str">
            <v>Menemukan/menciptakan karya seni kategori kompleks. (54)</v>
          </cell>
          <cell r="T65">
            <v>4</v>
          </cell>
        </row>
        <row r="66">
          <cell r="B66" t="str">
            <v>55</v>
          </cell>
          <cell r="C66" t="str">
            <v>Menemukan/menciptakan karya seni kategori sederhana. (55)</v>
          </cell>
          <cell r="T66">
            <v>2</v>
          </cell>
        </row>
        <row r="67">
          <cell r="B67" t="str">
            <v>56</v>
          </cell>
          <cell r="C67" t="str">
            <v>Membuat alat pelajaran kategori kompleks. (56)</v>
          </cell>
          <cell r="T67">
            <v>2</v>
          </cell>
        </row>
        <row r="68">
          <cell r="B68" t="str">
            <v>57</v>
          </cell>
          <cell r="C68" t="str">
            <v>Membuat alat pelajaran kategori sederhana. (57)</v>
          </cell>
          <cell r="T68">
            <v>1</v>
          </cell>
        </row>
        <row r="69">
          <cell r="B69" t="str">
            <v>58</v>
          </cell>
          <cell r="C69" t="str">
            <v>Membuat alat peraga kategori kompleks. (58)</v>
          </cell>
          <cell r="T69">
            <v>2</v>
          </cell>
        </row>
        <row r="70">
          <cell r="B70" t="str">
            <v>59</v>
          </cell>
          <cell r="C70" t="str">
            <v>Membuat alat peraga kategori sederhana. (59)</v>
          </cell>
          <cell r="T70">
            <v>1</v>
          </cell>
        </row>
        <row r="71">
          <cell r="B71" t="str">
            <v>60</v>
          </cell>
          <cell r="C71" t="str">
            <v>Membuat alat praktikum kategori kompleks. (60)</v>
          </cell>
          <cell r="T71">
            <v>4</v>
          </cell>
        </row>
        <row r="72">
          <cell r="B72" t="str">
            <v>61</v>
          </cell>
          <cell r="C72" t="str">
            <v>Membuat alat praktikum kategori sederhana. (61)</v>
          </cell>
          <cell r="T72">
            <v>2</v>
          </cell>
        </row>
        <row r="73">
          <cell r="B73" t="str">
            <v>62</v>
          </cell>
          <cell r="C73" t="str">
            <v>Mengikuti pengembangan penyusunan standar, pedoman, soal dan sejenisnya pada tingkat nasional. (62)</v>
          </cell>
          <cell r="T73">
            <v>1</v>
          </cell>
        </row>
        <row r="74">
          <cell r="B74" t="str">
            <v>63</v>
          </cell>
          <cell r="C74" t="str">
            <v>Mengikuti pengembangan penyusunan standar, pedoman, soal dan sejenisnya pada tingkat provinsi. (63)</v>
          </cell>
          <cell r="T74">
            <v>1</v>
          </cell>
        </row>
        <row r="75">
          <cell r="B75" t="str">
            <v>64</v>
          </cell>
          <cell r="C75" t="str">
            <v>Memperoleh gelar/ijazah doktor yang tidak sesuai dengan bidang yang diampu. (64)</v>
          </cell>
          <cell r="T75">
            <v>15</v>
          </cell>
        </row>
        <row r="76">
          <cell r="B76" t="str">
            <v>65</v>
          </cell>
          <cell r="C76" t="str">
            <v>Memperoleh gelar/ijazah pasca sarjana (S2) yang tidak sesuai dengan bidang yang diampu. (65)</v>
          </cell>
          <cell r="T76">
            <v>10</v>
          </cell>
        </row>
        <row r="77">
          <cell r="B77" t="str">
            <v>66</v>
          </cell>
          <cell r="C77" t="str">
            <v>Memperoleh gelar/ijazah sarjana (S-1) atau Diploma IV yang tidak sesuai dengan bidang yang diampu. (66)</v>
          </cell>
          <cell r="T77">
            <v>5</v>
          </cell>
        </row>
        <row r="78">
          <cell r="B78" t="str">
            <v>67</v>
          </cell>
          <cell r="C78" t="str">
            <v>Membimbing siswa dalam praktik kerja nyata/praktik industri/ekstra kurkuler dan yang sejenisnya. (67)</v>
          </cell>
          <cell r="T78">
            <v>0.17</v>
          </cell>
        </row>
        <row r="79">
          <cell r="B79" t="str">
            <v>68</v>
          </cell>
          <cell r="C79" t="str">
            <v>Menjadi pengawas ujian sekolah. (68)</v>
          </cell>
          <cell r="T79">
            <v>0.08</v>
          </cell>
        </row>
        <row r="80">
          <cell r="B80" t="str">
            <v>69</v>
          </cell>
          <cell r="C80" t="str">
            <v>Menjadi pengawas ujian nasional. (69)</v>
          </cell>
          <cell r="T80">
            <v>0.08</v>
          </cell>
        </row>
        <row r="81">
          <cell r="B81" t="str">
            <v>70</v>
          </cell>
          <cell r="C81" t="str">
            <v>Menjadi pengurus aktif organisasi profesi (PGRI, ABKIN dan sejenisnya). (70)</v>
          </cell>
          <cell r="T81">
            <v>1</v>
          </cell>
        </row>
        <row r="82">
          <cell r="B82" t="str">
            <v>71</v>
          </cell>
          <cell r="C82" t="str">
            <v>Menjadi anggota aktif organisasi profesi (PGRI, ABKIN dan sejenisnya). (71)</v>
          </cell>
          <cell r="T82">
            <v>0.75</v>
          </cell>
        </row>
        <row r="83">
          <cell r="B83" t="str">
            <v>72</v>
          </cell>
          <cell r="C83" t="str">
            <v>Menjadi pengurus aktif kegiatan kepramukaan. (72)</v>
          </cell>
          <cell r="T83">
            <v>1</v>
          </cell>
        </row>
        <row r="84">
          <cell r="B84" t="str">
            <v>73</v>
          </cell>
          <cell r="C84" t="str">
            <v>Menjadi anggota aktif kegiatan kepramukaan. (73)</v>
          </cell>
          <cell r="T84">
            <v>0.75</v>
          </cell>
        </row>
        <row r="85">
          <cell r="B85" t="str">
            <v>74</v>
          </cell>
          <cell r="C85" t="str">
            <v>Menjadi tim penilai anggka kredit. (74)</v>
          </cell>
          <cell r="T85">
            <v>0.04</v>
          </cell>
        </row>
        <row r="86">
          <cell r="B86" t="str">
            <v>75</v>
          </cell>
          <cell r="C86" t="str">
            <v>Menjadi tutor/pelatih/instruktur. (75)</v>
          </cell>
          <cell r="T86">
            <v>0.04</v>
          </cell>
        </row>
        <row r="87">
          <cell r="B87" t="str">
            <v>76</v>
          </cell>
          <cell r="C87" t="str">
            <v>Memperoleh penghargaan tanda jasa Satya Lancana Karya Satya 30 (tiga puluh) tahun. (76)</v>
          </cell>
          <cell r="T87">
            <v>3</v>
          </cell>
        </row>
        <row r="88">
          <cell r="B88" t="str">
            <v>77</v>
          </cell>
          <cell r="C88" t="str">
            <v>Memperoleh penghargaan tanda jasa Satya Lancana Karya Satya 20 (dua puluh) tahun. (77)</v>
          </cell>
          <cell r="T88">
            <v>2</v>
          </cell>
        </row>
        <row r="89">
          <cell r="B89" t="str">
            <v>78</v>
          </cell>
          <cell r="C89" t="str">
            <v>Memperoleh penghargaan tanda jasa Satya Lancana Karya Satya 10 (sepuluh) tahun. (78)</v>
          </cell>
          <cell r="T89">
            <v>1</v>
          </cell>
        </row>
        <row r="90">
          <cell r="B90" t="str">
            <v>79</v>
          </cell>
          <cell r="C90" t="str">
            <v>Memperoleh penghargaan/tanda jasa (79)</v>
          </cell>
          <cell r="T90">
            <v>1</v>
          </cell>
        </row>
      </sheetData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HOR"/>
      <sheetName val="MENU"/>
      <sheetName val="PERIODE"/>
      <sheetName val="DATA DIRI"/>
      <sheetName val="COVER"/>
      <sheetName val="TABEL ABK"/>
      <sheetName val="RENCANA SKP"/>
      <sheetName val="UKUR SKP"/>
      <sheetName val="PERILAKU"/>
      <sheetName val="PENILAIAN"/>
      <sheetName val="PRESTASI KERJA"/>
      <sheetName val="DATA DIRI2"/>
      <sheetName val="COVER2"/>
      <sheetName val="SKP ATASAN"/>
      <sheetName val="MPH"/>
      <sheetName val="ISI RENCANA SKP"/>
      <sheetName val="RENCANA SKP PNS"/>
      <sheetName val="Penetapan SKP PNS"/>
      <sheetName val="CAPAIAN SKP PNS"/>
      <sheetName val="RENCANA SKP2"/>
      <sheetName val="UKUR SKP2"/>
      <sheetName val="PERILAKU2"/>
      <sheetName val="PENILAIAN2"/>
      <sheetName val="PRESTASI KERJA2"/>
      <sheetName val="INTEGRASI SKP"/>
      <sheetName val="Konversi"/>
    </sheetNames>
    <sheetDataSet>
      <sheetData sheetId="0"/>
      <sheetData sheetId="1"/>
      <sheetData sheetId="2"/>
      <sheetData sheetId="3"/>
      <sheetData sheetId="4"/>
      <sheetData sheetId="5">
        <row r="4">
          <cell r="E4" t="str">
            <v>00</v>
          </cell>
          <cell r="F4" t="str">
            <v>-</v>
          </cell>
          <cell r="H4" t="str">
            <v>00</v>
          </cell>
          <cell r="I4" t="str">
            <v>-</v>
          </cell>
          <cell r="K4" t="str">
            <v>00</v>
          </cell>
          <cell r="L4" t="str">
            <v>-</v>
          </cell>
          <cell r="N4" t="str">
            <v>00</v>
          </cell>
          <cell r="O4" t="str">
            <v>-</v>
          </cell>
          <cell r="Q4" t="str">
            <v>00</v>
          </cell>
          <cell r="R4" t="str">
            <v>-</v>
          </cell>
          <cell r="T4" t="str">
            <v>00</v>
          </cell>
          <cell r="U4" t="str">
            <v>-</v>
          </cell>
        </row>
        <row r="5">
          <cell r="E5" t="str">
            <v>01</v>
          </cell>
          <cell r="F5" t="str">
            <v>Menyusun program kerja tata usaha : membuat konsep Rencana Kegiatan Anggaran Kementerian/Lembaga, membuat konsep TOR/RAB Rencana Kegiatan Anggaran Kementerian/Lembaga, membuat konsep Rencana Operasional Kegiatan penyerapan DIPA, membuat jobdiscription staf TU berdasarkan visi misi dan sesuai ketentuan yang berlaku sebagai pedoman pelaksanaan kegiatan tata usaha madrasah;</v>
          </cell>
          <cell r="H5" t="str">
            <v>01</v>
          </cell>
          <cell r="I5" t="str">
            <v>Membantu menghitung biaya investasi, biaya operasional dan biaya personal berdasarkan ketentuan yang berlaku untuk kelancaran pekerjaan</v>
          </cell>
          <cell r="K5" t="str">
            <v>01</v>
          </cell>
          <cell r="L5" t="str">
            <v>Menyiapkan Dokumen dan Bahan Perencanaan Kepegawaian berdasarkan perintah atasan untuk menunjang kelancaran tugas</v>
          </cell>
          <cell r="N5" t="str">
            <v>01</v>
          </cell>
          <cell r="O5" t="str">
            <v>Mengetik Data Siswa berdasarkan peraturan yang berlaku untuk ketertiban administrasi</v>
          </cell>
          <cell r="Q5" t="str">
            <v>01</v>
          </cell>
          <cell r="R5" t="str">
            <v>Menyiapkan Bahan Konsep Kebutuhan Sarana Prasarana Madrasah berdasarkan Kondisi Madrasah untuk kelancaran pekerjaan</v>
          </cell>
          <cell r="T5" t="str">
            <v>01</v>
          </cell>
          <cell r="U5" t="str">
            <v>Menerima dan menyeleksi surat masuk berdasarkan ketentuan untuk ketertiban administrasi persuratan dan kelancaran tugas</v>
          </cell>
        </row>
        <row r="6">
          <cell r="E6" t="str">
            <v>02</v>
          </cell>
          <cell r="F6" t="str">
            <v>Menyelenggarakan urusan administrasi keuangan verifikasi SPM, laporan SAI, CALK, e-APBN, e-MPA dan LAKIP madrasah berdasarkan prosedur dan ketentuan yang berlaku untuk mencapai tujuan madrasah</v>
          </cell>
          <cell r="H6" t="str">
            <v>02</v>
          </cell>
          <cell r="I6" t="str">
            <v>Membantu pimpinan mengatur arus dana DIPA berdasarkan ketentuan yang berlaku untuk kelancaran pekerjaan</v>
          </cell>
          <cell r="K6" t="str">
            <v>02</v>
          </cell>
          <cell r="L6" t="str">
            <v>Mengisi Buku Induk Kepegawaian berdasarkan perintah atasan untuk menunjang ketertiban administrasi</v>
          </cell>
          <cell r="N6" t="str">
            <v>02</v>
          </cell>
          <cell r="O6" t="str">
            <v>Mengisi Buku Induk Siswa berdasarkan ketentuan yang berlaku untuk ketertiban administrasi</v>
          </cell>
          <cell r="Q6" t="str">
            <v>02</v>
          </cell>
          <cell r="R6" t="str">
            <v>Menyiapkan Bahan Rencana Tata Ruang Pemeliharaan Gedung dan Kendaraan (bila ada) berdasarkan aturan dan ketentuan yang berlaku untuk menunjang proses Kegiatan Belajar Mengajar</v>
          </cell>
          <cell r="T6" t="str">
            <v>02</v>
          </cell>
          <cell r="U6" t="str">
            <v>Mencatat dan mengagenda surat masuk berdasarkan ketentuan untuk ketertiban admninistrasi dan kelancaran tugas</v>
          </cell>
        </row>
        <row r="7">
          <cell r="E7" t="str">
            <v>03</v>
          </cell>
          <cell r="F7" t="str">
            <v>Menyelenggarakan urusan administrasi kurikulum : meneliti konsep penyusunan kalender pendidikan, jadwal pembelajarn, jadwal pembagian tugas pengajaran dan kegiatan ujian berdasarkan prosedur dan ketentuan yang berlaku untuk kelancaran kegiatan madrasah;</v>
          </cell>
          <cell r="H7" t="str">
            <v>03</v>
          </cell>
          <cell r="I7" t="str">
            <v>Menyusun dan menyajikan data / statistik keuangan DIPA berdasarkan ketentuan yang berlaku untuk ketertiban administrasi</v>
          </cell>
          <cell r="K7" t="str">
            <v>03</v>
          </cell>
          <cell r="L7" t="str">
            <v>Menyiapkan bahan usulan Kartu Pegawai (KARPEG) berdasarkan perintah atasan untuk menunjang ketertiban administrasi</v>
          </cell>
          <cell r="N7" t="str">
            <v>03</v>
          </cell>
          <cell r="O7" t="str">
            <v>Mengisi data KLAPER berdasarkan ketentuan yang berlaku untuk ketertiban administrasi</v>
          </cell>
          <cell r="Q7" t="str">
            <v>03</v>
          </cell>
          <cell r="R7" t="str">
            <v>Menyiapkan data Inventaris sarana dan prasarana madrasah serta pengkodeannya berdasarkan aturan yang berlaku untuk ketertiban administrasi</v>
          </cell>
          <cell r="T7" t="str">
            <v>03</v>
          </cell>
          <cell r="U7" t="str">
            <v>Memberi lembar disposisi pada surat masuk serta menulis nomor tanggal, perihal berdasarkan ketentuan untuk kelancaran adminsitrasi persuratan</v>
          </cell>
        </row>
        <row r="8">
          <cell r="E8" t="str">
            <v>04</v>
          </cell>
          <cell r="F8" t="str">
            <v>Menyelenggarakan urusan administrasi sarana dan prasarana : meneliti konsep usulan kebutuhan sarpras, data inventaris sarpras, data penghapusan barang, dan laporan BMN berdasarkan prosedur dan ketentuan yang berlaku untuk mendukung kelancaran pelaksanaan tugas;</v>
          </cell>
          <cell r="H8" t="str">
            <v>04</v>
          </cell>
          <cell r="I8" t="str">
            <v xml:space="preserve">Membuat layanan sistem informasi dan pelaporan keuangan DIPA berdasarkan ketentuan yang berlaku untuk ketertiban administrasi
</v>
          </cell>
          <cell r="K8" t="str">
            <v>04</v>
          </cell>
          <cell r="L8" t="str">
            <v>Menyiapkan bahan usulan Kartu Istri/Suami (KARIS/KARSU) Pegawai berdasarkan perintah atasan untuk menunjang ketertiban administrasi</v>
          </cell>
          <cell r="N8" t="str">
            <v>04</v>
          </cell>
          <cell r="O8" t="str">
            <v>Mendata Siswa Calon Penerima Dana BOS berdasarkan Prosedur yang berlaku untuk ketertiban administrasi</v>
          </cell>
          <cell r="Q8" t="str">
            <v>04</v>
          </cell>
          <cell r="R8" t="str">
            <v>Menyiapkan Konsep Perencanaan Penghapusan Barang berdasarkan peraturan yang berlaku untuk ketertiban administrasi</v>
          </cell>
          <cell r="T8" t="str">
            <v>04</v>
          </cell>
          <cell r="U8" t="str">
            <v>Mengonsep surat pengantar/undangan/dinas lainnya, sesuai dengan prosedur dan ketentuan yang berlaku untuk kelancaran administrasi persuratan</v>
          </cell>
        </row>
        <row r="9">
          <cell r="E9" t="str">
            <v>05</v>
          </cell>
          <cell r="F9" t="str">
            <v>Menyelenggarakan urusan administrasi kehumasan : meneliti konsep penyusunan publikasi madrasah dan surat menyurat kehumasan berdasarkan prosedur dan ketentuan yang berlaku untuk mendukung kelancaran kegiatan madrasah;</v>
          </cell>
          <cell r="H9" t="str">
            <v>05</v>
          </cell>
          <cell r="I9" t="str">
            <v xml:space="preserve">Memanfaatkan TIK untuk mengadministrasikan keuangan DIPA berdasarkan ketentuan yang berlaku untuk kelancaran pekerjaan  </v>
          </cell>
          <cell r="K9" t="str">
            <v>05</v>
          </cell>
          <cell r="L9" t="str">
            <v>Membuat Daftar Urut Kepangkatan (DUK) Pegawai berdasarkan perintah atasan untuk menunjang ketertiban administrasi</v>
          </cell>
          <cell r="N9" t="str">
            <v>05</v>
          </cell>
          <cell r="O9" t="str">
            <v>Mendata Siswa Calon Penerima Bantuan Siswa Miskin berdasarkan Prosedur yang berlaku untuk ketertiban administrasi</v>
          </cell>
          <cell r="Q9" t="str">
            <v>05</v>
          </cell>
          <cell r="R9" t="str">
            <v>Menyiapkan administrasi Penghapusan Barang berdasarkan peraturan yang berlaku untuk ketertiban administrasi</v>
          </cell>
          <cell r="T9" t="str">
            <v>05</v>
          </cell>
          <cell r="U9" t="str">
            <v>Menyampaikan surat masuk yang sudah dicatat dalam buku agenda kepada kepala madrasah sesuai ketentuan untuk kelancaran administrasi</v>
          </cell>
        </row>
        <row r="10">
          <cell r="E10" t="str">
            <v>06</v>
          </cell>
          <cell r="F10" t="str">
            <v>Menyelenggarakan urusan administrasi persuratan/pengarsipan : memverifikasi surat masuk dan meneliti konsep surat keluar berdasarkan prosedur dan ketentuan yang berlaku untuk mendukung kelancaran pelaksanaan tugas;</v>
          </cell>
          <cell r="H10" t="str">
            <v>06</v>
          </cell>
          <cell r="I10" t="str">
            <v>Menyiapkan konsep rencana anggaran yang bersumber dari DIPA APBN berdasarkan ketentuan yang berlaku untuk kelancaran pekerjaan</v>
          </cell>
          <cell r="K10" t="str">
            <v>06</v>
          </cell>
          <cell r="L10" t="str">
            <v>Update Data Simpeg dan Statistik Kepegawaian berdasarkan perintah atasan sebagai bahan kebijakan pimpinan</v>
          </cell>
          <cell r="N10" t="str">
            <v>06</v>
          </cell>
          <cell r="O10" t="str">
            <v>Mengentry data mutasi siswa berdasarkan ketentuan yang berlaku untuk ketertiban administrasi</v>
          </cell>
          <cell r="Q10" t="str">
            <v>06</v>
          </cell>
          <cell r="R10" t="str">
            <v>Mengisi Buku Induk dan Buku Penggolongan Barang Inventaris berdasarkan Peraturan yang berlaku untuk ketertiban administrasi</v>
          </cell>
          <cell r="T10" t="str">
            <v>06</v>
          </cell>
          <cell r="U10" t="str">
            <v>Mendistribusikan Surat Masuk sesuai disposisi kepala madrasah kepada unit pengolah sesuai ketentuan untuk ketertiban administrasi</v>
          </cell>
        </row>
        <row r="11">
          <cell r="E11" t="str">
            <v>07</v>
          </cell>
          <cell r="F11" t="str">
            <v>Menyelenggarakan urusan administrasi kesiswaan : meneliti konsep usulan data siswa penerima BOS, BSM dan UN berdasarkan prosedur dan ketentuan yang berlaku untuk mendukung kelancaran kegiatan madrasah;</v>
          </cell>
          <cell r="H11" t="str">
            <v>07</v>
          </cell>
          <cell r="I11" t="str">
            <v>Menyiapkan laporan penerimaan dan pengeluaran dana DIPA pada BKU berdasarkan ketentuan yang berlaku untuk ketertiban administrasi</v>
          </cell>
          <cell r="K11" t="str">
            <v>07</v>
          </cell>
          <cell r="L11" t="str">
            <v>Menyiapkan bahan usulan Kartu Tabungan Asuransi Pegawai Negeri (TASPEN) Pegawai berdasarkan perintah atasan untuk menunjang ketertiban administrasi</v>
          </cell>
          <cell r="N11" t="str">
            <v>07</v>
          </cell>
          <cell r="O11" t="str">
            <v>Menyiapkan data statistik dan rekapitulasi siswa berdasarkan ketentuan yang berlaku untuk ketertiban administrasi</v>
          </cell>
          <cell r="Q11" t="str">
            <v>07</v>
          </cell>
          <cell r="R11" t="str">
            <v>Mencatat dan Membukukan Penerimaan/Pengeluaran Belanja ATK berdasarkan ketentuan yang berlaku sebagai dasar laporan persediaan barang pada BMN</v>
          </cell>
          <cell r="T11" t="str">
            <v>07</v>
          </cell>
          <cell r="U11" t="str">
            <v>Mencatat agenda kepala madrasah berdasarkan ketentuan yang berlaku untuk ketertiban administrasi</v>
          </cell>
        </row>
        <row r="12">
          <cell r="E12" t="str">
            <v>08</v>
          </cell>
          <cell r="F12" t="str">
            <v>Menyelenggarakan urusan administrasi layanan khusus kepegawaian : meneliti konsep usul Karpeg, Karis/Karsu, kartu Taspen, mutasi kenaikan pangkat, DUK, Cuti pegawai, produk SK, MoU dan data statistic pegawai berdasarkan prosedur dan ketentuan yang berlaku untuk mendukung kelancaran pelaksanaan tugas;</v>
          </cell>
          <cell r="H12" t="str">
            <v>08</v>
          </cell>
          <cell r="I12" t="str">
            <v>Meneliti kesediaan dana dalam ROK dan DIPA serta ketepatan berdasarkan ketentuan yang berlaku untuk kelancaran pekerjaan</v>
          </cell>
          <cell r="K12" t="str">
            <v>08</v>
          </cell>
          <cell r="L12" t="str">
            <v>Menyiapkan bahan usulan Kartu Asuransi Kesehatan (ASKES) Pegawai berdasarkan perintah atasan untuk menunjang ketertiban administrasi</v>
          </cell>
          <cell r="N12" t="str">
            <v>08</v>
          </cell>
          <cell r="O12" t="str">
            <v>Mengarsipkan data siswa berdasarkan ketentuan yang berlaku untuk ketertiban administrasi</v>
          </cell>
          <cell r="Q12" t="str">
            <v>08</v>
          </cell>
          <cell r="R12" t="str">
            <v>Melaksanakan stock opname terhadap barang persediaan (ATK) berdasarkan prosedur untuk kelancaran administrasi tata usaha</v>
          </cell>
          <cell r="T12" t="str">
            <v>08</v>
          </cell>
          <cell r="U12" t="str">
            <v>Mengagenda  dan memberikan nomor surat keluar sesuai ketentuan yang berlaku untuk ketertiban admninistrasi</v>
          </cell>
        </row>
        <row r="13">
          <cell r="E13" t="str">
            <v>09</v>
          </cell>
          <cell r="F13" t="str">
            <v>Menyelenggarakan urusan administrasi  layanan khusus madrasah : melakukan cek list keamanan, ketertiban, kebersihan madrasah dan layanan kerumahtanggaan/operasional madrasah sesuai ketentuan untuk kelancaran pelaksanaan tugas</v>
          </cell>
          <cell r="H13" t="str">
            <v>09</v>
          </cell>
          <cell r="I13" t="str">
            <v>Menyampaiakan SPP berikut dokumen kelengkapan kepada PPSPM berdasarkan ketentuan yang berlaku untuk ketertiban administrasi</v>
          </cell>
          <cell r="K13" t="str">
            <v>09</v>
          </cell>
          <cell r="L13" t="str">
            <v>Menyiapkan bahan usulan Satyalencana Karyasatya Pegawai berdasarkan perintah atasan sebagai penghargaan kepada pegawai</v>
          </cell>
          <cell r="N13" t="str">
            <v>09</v>
          </cell>
          <cell r="O13" t="str">
            <v>Mengelola data EMIS, LISM (Laporan Individu Sekolah/Madrasah) dan data pendidikan berdasarkan ketentuan yang berlaku untuk ketertiban administrasi</v>
          </cell>
          <cell r="Q13" t="str">
            <v>09</v>
          </cell>
          <cell r="R13" t="str">
            <v>Mendata dan melaporkan Barang Milik Negara berdasarkan aturan yang berlaku untuk ketertiban administrasi</v>
          </cell>
          <cell r="T13" t="str">
            <v>09</v>
          </cell>
          <cell r="U13" t="str">
            <v>Menyampaikan surat keluar kepada tujuan sesuai ketentuan yang berlaku untuk ketertiban administrasi</v>
          </cell>
        </row>
        <row r="14">
          <cell r="E14" t="str">
            <v>10</v>
          </cell>
          <cell r="F14" t="str">
            <v>Menyelenggarakan urusan administrasi perpustakaan : meneliti konsep program kerja, rencana pengembangan dan usul pengadaan buku berdasarkan ketentuan untuk kelancaran tugas.</v>
          </cell>
          <cell r="H14" t="str">
            <v>10</v>
          </cell>
          <cell r="I14" t="str">
            <v>Melaksanakan pembayaran setelah mendapat persetujuan dari KPA berdasarkan ketentuan yang berlaku untuk kelancaran pekerjaan</v>
          </cell>
          <cell r="K14" t="str">
            <v>10</v>
          </cell>
          <cell r="L14" t="str">
            <v>Menyiapkan bahan usulan Penilaian Prestasi Kerja Pegawai Negeri Sipil berdasarkan perintah atasan untuk menunjang ketertiban administrasi</v>
          </cell>
          <cell r="N14" t="str">
            <v>10</v>
          </cell>
          <cell r="O14" t="str">
            <v>Menyiapkan usulan dan mendistribusikan peralatan/fasilitas belajar mengajar berdasarkan ketentuan yang berlaku untuk kelancaran Kegiatan Belajar Mengajar</v>
          </cell>
          <cell r="Q14" t="str">
            <v>10</v>
          </cell>
          <cell r="R14" t="str">
            <v>Melaksanakan pencatatan barang milik Negara ke aplikasi SIMAK BMN</v>
          </cell>
          <cell r="T14" t="str">
            <v>10</v>
          </cell>
          <cell r="U14" t="str">
            <v>Memelihara dan mengarsip surat masuk dan surat keluar ke dalam almari file arsip berdasarkan prosedur dan ketentuan yang berlaku untuk ketertiban administrasi</v>
          </cell>
        </row>
        <row r="15">
          <cell r="E15" t="str">
            <v>11</v>
          </cell>
          <cell r="F15" t="str">
            <v>Menyelenggarakan urusan administrasi  laboratorium berdasarkan ketentuan untuk kelancaran kegiatan praktek siswa.</v>
          </cell>
          <cell r="H15" t="str">
            <v>11</v>
          </cell>
          <cell r="I15" t="str">
            <v>Menyiapkan register penutupan kas berdasarkan ketentuan yang berlaku untuk ketertiban administrasi</v>
          </cell>
          <cell r="K15" t="str">
            <v>11</v>
          </cell>
          <cell r="L15" t="str">
            <v>Mengetik  Surat Perintah Tugas Pegawai Negeri Sipil berdasarkan kebutuhan untuk menunjang ketertiban administrasi</v>
          </cell>
          <cell r="N15" t="str">
            <v>11</v>
          </cell>
          <cell r="O15" t="str">
            <v>Menyiapkan Bahan Usulan Calon Peserta ANBK berdasarkan ketentuan yang berlaku untuk kelancaran Kegiatan Belajar Mengajar</v>
          </cell>
          <cell r="Q15" t="str">
            <v>11</v>
          </cell>
          <cell r="R15" t="str">
            <v>Membuat dan mencetak DBR, DIL, KIB</v>
          </cell>
          <cell r="T15" t="str">
            <v>11</v>
          </cell>
          <cell r="U15" t="str">
            <v>Menyiapkan bahan pelayanan legalisir ijazah / SK sesuai ketentuan untuk kelancaran tugas</v>
          </cell>
        </row>
        <row r="16">
          <cell r="E16" t="str">
            <v>12</v>
          </cell>
          <cell r="F16" t="str">
            <v>Mengoreksi Scen Kwitansi, SPTBR,SPP,SPM,SP2D</v>
          </cell>
          <cell r="H16" t="str">
            <v>12</v>
          </cell>
          <cell r="I16" t="str">
            <v>Menyiapkan Berita Acara Penutupan Kas dan Rekonsialisi berdasarkan ketentuan yang berlaku untuk ketertiban administrasi</v>
          </cell>
          <cell r="K16" t="str">
            <v>12</v>
          </cell>
          <cell r="L16" t="str">
            <v>Mengetik  SPMT, SPMJ, dan menginput data dari SIMPATIKA Pegawai Negeri Sipil berdasarkan kebutuhan untuk menunjang ketertiban administrasi</v>
          </cell>
          <cell r="N16" t="str">
            <v>12</v>
          </cell>
          <cell r="O16" t="str">
            <v>Mengelola RDM, Membuat LEDGER berdasarkan ketentuan yang berlaku untuk kelancaran Kegiatan Belajar Mengajar</v>
          </cell>
          <cell r="Q16" t="str">
            <v>12</v>
          </cell>
          <cell r="R16" t="str">
            <v>Mencatat dan menyimpan BMN yang rusak berat, rusak ringan dan barang tidak terpakai ke gudang</v>
          </cell>
          <cell r="T16" t="str">
            <v>12</v>
          </cell>
        </row>
        <row r="17">
          <cell r="E17" t="str">
            <v>13</v>
          </cell>
          <cell r="F17" t="str">
            <v xml:space="preserve">Mengoreksi  Laporan Keuangan  Bappeda dan Bapenas </v>
          </cell>
          <cell r="H17" t="str">
            <v>13</v>
          </cell>
          <cell r="I17" t="str">
            <v>Menyusun laporan penerimaan dan pengeluaran dana DIPA pada buku pembantu berdasarkan ketentuan yang berlaku untuk ketertiban administrasi</v>
          </cell>
          <cell r="K17" t="str">
            <v>13</v>
          </cell>
          <cell r="L17" t="str">
            <v>Menyiapkan Bahan Usulan Pengangkatan CPNS menjadi PNS atau kedalam Jabatan berdasarkan peraturan perundangan yang berlaku untuk menunjang ketertiban administrasi</v>
          </cell>
          <cell r="N17" t="str">
            <v>13</v>
          </cell>
          <cell r="O17" t="str">
            <v>Mengelola data simpatika Madrasah dan data pendidikan berdasarkan ketentuan yang berlaku untuk ketertiban administrasi</v>
          </cell>
          <cell r="Q17" t="str">
            <v>13</v>
          </cell>
          <cell r="R17" t="str">
            <v>Membuat dan mengirim rekonsiliasi internal SIMAK dan SAKPA ke KPKNL</v>
          </cell>
          <cell r="T17" t="str">
            <v>13</v>
          </cell>
        </row>
        <row r="18">
          <cell r="E18" t="str">
            <v>14</v>
          </cell>
          <cell r="F18" t="str">
            <v>Membuat SAKIP DAN LAKIB</v>
          </cell>
          <cell r="H18" t="str">
            <v>14</v>
          </cell>
          <cell r="I18" t="str">
            <v>Membayar dan menyimpan uang kas UP dan LS Bendahara berdasarkan ketentuan yang berlaku untuk kelancaran pekerjaan</v>
          </cell>
          <cell r="K18" t="str">
            <v>14</v>
          </cell>
          <cell r="L18" t="str">
            <v>Menyiapkan Bahan Usulan mutasi PNS berdasarkan peraturan perundangan yang berlaku untuk menunjang ketertiban administrasi</v>
          </cell>
          <cell r="N18" t="str">
            <v>14</v>
          </cell>
          <cell r="O18" t="str">
            <v>Melaksanakan tugas kedinasan lain yang diperintahkan pimpinan baik  lisan maupun tertulis</v>
          </cell>
          <cell r="Q18" t="str">
            <v>14</v>
          </cell>
          <cell r="R18" t="str">
            <v>Membuat dan mengetik surat atau laporan yang berkaitan dengan BMN (Wasdal BMN, Inventarisasi BMN)</v>
          </cell>
          <cell r="T18" t="str">
            <v>14</v>
          </cell>
        </row>
        <row r="19">
          <cell r="E19" t="str">
            <v>15</v>
          </cell>
          <cell r="F19" t="str">
            <v>Verifikasi Laporan Keuangan : E-Mpa, Smart DJA, Laporan realisasi anggaran</v>
          </cell>
          <cell r="H19" t="str">
            <v>15</v>
          </cell>
          <cell r="I19" t="str">
            <v>Membayar dan menyimpan uang kas UP dan LS Bendahara berdasarkan ketentuan yang berlaku untuk kelancaran pekerjaan</v>
          </cell>
          <cell r="K19" t="str">
            <v>15</v>
          </cell>
          <cell r="L19" t="str">
            <v>Menyiapkan Bahan Usulan Promosi PNS berdasarkan peraturan perundangan yang berlaku untuk menunjang ketertiban administrasi</v>
          </cell>
          <cell r="N19" t="str">
            <v>15</v>
          </cell>
          <cell r="Q19" t="str">
            <v>15</v>
          </cell>
          <cell r="R19" t="str">
            <v>Mengajukan usulan penetapan status penggunaan BMN</v>
          </cell>
          <cell r="T19" t="str">
            <v>15</v>
          </cell>
        </row>
        <row r="20">
          <cell r="E20" t="str">
            <v>16</v>
          </cell>
          <cell r="F20" t="str">
            <v>Melaksanakan perintah atasan baik lisan maupun tertulis untuk kelancaran pelaksanaan tugas</v>
          </cell>
          <cell r="H20" t="str">
            <v>16</v>
          </cell>
          <cell r="I20" t="str">
            <v>Menyiapkan bukti-bukti pembayaran pengeluaran Dana DIPA berdasarkan ketentuan yang berlaku untuk ketertiban administrasi</v>
          </cell>
          <cell r="K20" t="str">
            <v>16</v>
          </cell>
          <cell r="L20" t="str">
            <v>Menyiapkan Bahan Usulan Kenaikan Gaji Berkala PNS berdasarkan peraturan perundangan yang berlaku untuk menunjang ketertiban administrasi</v>
          </cell>
          <cell r="N20" t="str">
            <v>16</v>
          </cell>
          <cell r="Q20" t="str">
            <v>16</v>
          </cell>
          <cell r="R20" t="str">
            <v>Membuat usulan sarana prasarana Madrasah melalui aplikasi Data Pokok Sarana Prasarana Madrasah (DP-SPM)</v>
          </cell>
          <cell r="T20" t="str">
            <v>16</v>
          </cell>
        </row>
        <row r="21">
          <cell r="E21" t="str">
            <v>17</v>
          </cell>
          <cell r="H21" t="str">
            <v>17</v>
          </cell>
          <cell r="I21" t="str">
            <v>Mengadministrasikan SP2D berdasarkan ketentuan yang berlaku untuk ketertiban administrasi</v>
          </cell>
          <cell r="K21" t="str">
            <v>17</v>
          </cell>
          <cell r="L21" t="str">
            <v>Mengetik Surat Perijinan PNS berdasarkan peraturan perundangan yang berlaku untuk menunjang ketertiban administrasi</v>
          </cell>
          <cell r="N21" t="str">
            <v>17</v>
          </cell>
          <cell r="Q21" t="str">
            <v>17</v>
          </cell>
          <cell r="T21" t="str">
            <v>17</v>
          </cell>
        </row>
        <row r="22">
          <cell r="E22" t="str">
            <v>18</v>
          </cell>
          <cell r="H22" t="str">
            <v>18</v>
          </cell>
          <cell r="I22" t="str">
            <v>Membantu menyiapkan konsep RAPBM berdasarkan ketentuan yang berlaku untuk kelancaran pekerjaan</v>
          </cell>
          <cell r="K22" t="str">
            <v>18</v>
          </cell>
          <cell r="L22" t="str">
            <v>Mengetik Laporan Disiplin PNS berdasarkan peraturan perundangan yang berlaku untuk menunjang ketertiban pegawai</v>
          </cell>
          <cell r="N22" t="str">
            <v>18</v>
          </cell>
          <cell r="Q22" t="str">
            <v>18</v>
          </cell>
          <cell r="T22" t="str">
            <v>18</v>
          </cell>
        </row>
        <row r="23">
          <cell r="E23" t="str">
            <v>19</v>
          </cell>
          <cell r="H23" t="str">
            <v>19</v>
          </cell>
          <cell r="I23" t="str">
            <v>Menyiapkan konsep pengajuan BSM dan mendistribusikan ke siswa berdasarkan ketentuan yang berlaku untuk kelancaran pekerjaan</v>
          </cell>
          <cell r="K23" t="str">
            <v>19</v>
          </cell>
          <cell r="L23" t="str">
            <v>Mengetik Usulan Bebas Tugas PNS berdasarkan peraturan perundangan yang berlaku untuk menunjang ketertiban administrasi</v>
          </cell>
          <cell r="N23" t="str">
            <v>19</v>
          </cell>
          <cell r="Q23" t="str">
            <v>19</v>
          </cell>
          <cell r="T23" t="str">
            <v>19</v>
          </cell>
        </row>
        <row r="24">
          <cell r="E24" t="str">
            <v>20</v>
          </cell>
          <cell r="H24" t="str">
            <v>20</v>
          </cell>
          <cell r="I24" t="str">
            <v>Membantu siswa untuk pembukaan rekening BSM di Bank berdasarkan ketentuan yang berlaku untuk kelancaran pekerjaan</v>
          </cell>
          <cell r="K24" t="str">
            <v>20</v>
          </cell>
          <cell r="L24" t="str">
            <v>Mengetik Usulan Pemberhentian dan Pemensiunan PNS berdasarkan peraturan perundangan yang berlaku untuk menunjang ketertiban administrasi</v>
          </cell>
          <cell r="N24" t="str">
            <v>20</v>
          </cell>
          <cell r="Q24" t="str">
            <v>20</v>
          </cell>
          <cell r="T24" t="str">
            <v>20</v>
          </cell>
        </row>
        <row r="25">
          <cell r="E25" t="str">
            <v>21</v>
          </cell>
          <cell r="H25" t="str">
            <v>21</v>
          </cell>
          <cell r="I25" t="str">
            <v>Memungut dan menyetorkan pajak serta melaporkan berdasarkan ketentuan yang berlaku untuk ketertiban administrasi</v>
          </cell>
          <cell r="K25" t="str">
            <v>21</v>
          </cell>
          <cell r="L25" t="str">
            <v>Menyiapkan Bahan daftar hadir pegawai berdasarkan perintah atasan untuk menunjang kedisiplinan Pegawai Negeri Sipil</v>
          </cell>
          <cell r="N25" t="str">
            <v>21</v>
          </cell>
          <cell r="Q25" t="str">
            <v>21</v>
          </cell>
          <cell r="T25" t="str">
            <v>21</v>
          </cell>
        </row>
        <row r="26">
          <cell r="E26" t="str">
            <v>22</v>
          </cell>
          <cell r="H26" t="str">
            <v>22</v>
          </cell>
          <cell r="I26" t="str">
            <v>Menyiapkan dokumen laporan rekonsialisi keuangan secara berkala disampaikan ke KPPN dan Kanwil berdasarkan ketentuan yang berlaku untuk ketertiban administrasi</v>
          </cell>
          <cell r="K26" t="str">
            <v>22</v>
          </cell>
          <cell r="L26" t="str">
            <v>Menyiapkan Bahan Laporan Kinerja berdasarkan perintah atasan untuk menunjang ketertiban administrasi</v>
          </cell>
          <cell r="N26" t="str">
            <v>22</v>
          </cell>
          <cell r="Q26" t="str">
            <v>22</v>
          </cell>
          <cell r="T26" t="str">
            <v>22</v>
          </cell>
        </row>
        <row r="27">
          <cell r="E27" t="str">
            <v>23</v>
          </cell>
          <cell r="H27" t="str">
            <v>23</v>
          </cell>
          <cell r="I27" t="str">
            <v>Menyiapkan laporan triwulan Aplikasi BAPEDA dn BAPENA gan (CALK) semesteran berdasarkan ketentuan yang berlaku untuk ketertiban administrasi</v>
          </cell>
          <cell r="K27" t="str">
            <v>23</v>
          </cell>
          <cell r="N27" t="str">
            <v>23</v>
          </cell>
          <cell r="Q27" t="str">
            <v>23</v>
          </cell>
          <cell r="T27" t="str">
            <v>23</v>
          </cell>
        </row>
        <row r="28">
          <cell r="E28" t="str">
            <v>24</v>
          </cell>
          <cell r="H28" t="str">
            <v>24</v>
          </cell>
          <cell r="I28" t="str">
            <v>Menyiapkan dokumen laporan Catatan Atas Laporan Keuangan (CALK) tahunan berdasarkan ketentuan yang berlaku untuk ketertiban administrasi</v>
          </cell>
          <cell r="K28" t="str">
            <v>24</v>
          </cell>
          <cell r="N28" t="str">
            <v>24</v>
          </cell>
          <cell r="Q28" t="str">
            <v>24</v>
          </cell>
          <cell r="T28" t="str">
            <v>24</v>
          </cell>
        </row>
        <row r="29">
          <cell r="E29" t="str">
            <v>25</v>
          </cell>
          <cell r="H29" t="str">
            <v>25</v>
          </cell>
          <cell r="I29" t="str">
            <v>Menyiapkan konsep RKAKL berdasarkan ketentuan yang berlaku untuk kelancaran pekerjaan</v>
          </cell>
          <cell r="K29" t="str">
            <v>25</v>
          </cell>
          <cell r="N29" t="str">
            <v>25</v>
          </cell>
          <cell r="Q29" t="str">
            <v>25</v>
          </cell>
          <cell r="T29" t="str">
            <v>25</v>
          </cell>
        </row>
        <row r="30">
          <cell r="E30" t="str">
            <v>26</v>
          </cell>
          <cell r="H30" t="str">
            <v>26</v>
          </cell>
          <cell r="I30" t="str">
            <v>Menyiapkan dokumen rencana penarikan untuk dikirim ke KPPN Yk berdasarkan ketentuan yang berlaku untuk kelancaran pekerjaan</v>
          </cell>
          <cell r="K30" t="str">
            <v>26</v>
          </cell>
          <cell r="N30" t="str">
            <v>26</v>
          </cell>
          <cell r="Q30" t="str">
            <v>26</v>
          </cell>
          <cell r="T30" t="str">
            <v>26</v>
          </cell>
        </row>
        <row r="31">
          <cell r="E31" t="str">
            <v>27</v>
          </cell>
          <cell r="H31" t="str">
            <v>27</v>
          </cell>
          <cell r="I31" t="str">
            <v>Membuat potongan gaji dan menyalurkan ke pihak ketiga berdasarkan ketentuan yang berlaku untuk kelancaran pekerjaan</v>
          </cell>
          <cell r="K31" t="str">
            <v>27</v>
          </cell>
          <cell r="N31" t="str">
            <v>27</v>
          </cell>
          <cell r="Q31" t="str">
            <v>27</v>
          </cell>
          <cell r="T31" t="str">
            <v>27</v>
          </cell>
        </row>
        <row r="32">
          <cell r="E32" t="str">
            <v>28</v>
          </cell>
          <cell r="H32" t="str">
            <v>28</v>
          </cell>
          <cell r="K32" t="str">
            <v>28</v>
          </cell>
          <cell r="N32" t="str">
            <v>28</v>
          </cell>
          <cell r="Q32" t="str">
            <v>28</v>
          </cell>
          <cell r="T32" t="str">
            <v>28</v>
          </cell>
        </row>
        <row r="33">
          <cell r="E33" t="str">
            <v>29</v>
          </cell>
          <cell r="H33" t="str">
            <v>29</v>
          </cell>
          <cell r="K33" t="str">
            <v>29</v>
          </cell>
          <cell r="N33" t="str">
            <v>29</v>
          </cell>
          <cell r="Q33" t="str">
            <v>29</v>
          </cell>
          <cell r="T33" t="str">
            <v>29</v>
          </cell>
        </row>
        <row r="34">
          <cell r="E34" t="str">
            <v>30</v>
          </cell>
          <cell r="H34" t="str">
            <v>30</v>
          </cell>
          <cell r="K34" t="str">
            <v>30</v>
          </cell>
          <cell r="N34" t="str">
            <v>30</v>
          </cell>
          <cell r="Q34" t="str">
            <v>30</v>
          </cell>
          <cell r="T34" t="str">
            <v>30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8">
          <cell r="H48" t="str">
            <v xml:space="preserve">Jumlah proktor 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`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ilaian SKP JA PENGEMB"/>
      <sheetName val="MENU"/>
      <sheetName val="COVER"/>
      <sheetName val="DATA 1"/>
      <sheetName val="SKP"/>
      <sheetName val="PENGUKURAN"/>
      <sheetName val="PERILAKU KERJA"/>
      <sheetName val="Penilaian Prestasi"/>
      <sheetName val="Konversi Nilai"/>
      <sheetName val="DATA PNS"/>
      <sheetName val="SKP ATASAN"/>
      <sheetName val="RENCANA SKP"/>
      <sheetName val="KEGIATAN GURU"/>
      <sheetName val="KETERKAITAN JF"/>
      <sheetName val="REVIEW RENCANA SKP"/>
      <sheetName val="PENETAPAN SKP"/>
      <sheetName val="PENILAIAN SKP"/>
      <sheetName val="Penilaian Perilaku"/>
      <sheetName val="Penilaian Kinerja"/>
      <sheetName val="Laporan DPK"/>
      <sheetName val="Integrasi Nil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E10" t="str">
            <v>Guru</v>
          </cell>
        </row>
        <row r="15">
          <cell r="E15" t="str">
            <v>Pembina / IV a</v>
          </cell>
        </row>
      </sheetData>
      <sheetData sheetId="10"/>
      <sheetData sheetId="11">
        <row r="16">
          <cell r="A16">
            <v>1</v>
          </cell>
        </row>
        <row r="17">
          <cell r="A17"/>
        </row>
        <row r="18">
          <cell r="A18"/>
        </row>
        <row r="19">
          <cell r="A19">
            <v>2</v>
          </cell>
        </row>
        <row r="20">
          <cell r="A20"/>
        </row>
        <row r="21">
          <cell r="A21"/>
        </row>
        <row r="22">
          <cell r="A22">
            <v>3</v>
          </cell>
        </row>
        <row r="23">
          <cell r="A23"/>
        </row>
        <row r="24">
          <cell r="A24"/>
        </row>
        <row r="25">
          <cell r="A25">
            <v>4</v>
          </cell>
        </row>
        <row r="26">
          <cell r="A26"/>
        </row>
        <row r="27">
          <cell r="A27"/>
        </row>
        <row r="28">
          <cell r="A28">
            <v>5</v>
          </cell>
        </row>
        <row r="29">
          <cell r="A29"/>
        </row>
        <row r="33">
          <cell r="A33">
            <v>1</v>
          </cell>
        </row>
      </sheetData>
      <sheetData sheetId="12"/>
      <sheetData sheetId="13"/>
      <sheetData sheetId="14"/>
      <sheetData sheetId="15">
        <row r="16">
          <cell r="A16">
            <v>1</v>
          </cell>
        </row>
        <row r="17">
          <cell r="A17"/>
        </row>
        <row r="18">
          <cell r="A18"/>
        </row>
        <row r="19">
          <cell r="A19">
            <v>2</v>
          </cell>
        </row>
        <row r="20">
          <cell r="A20"/>
        </row>
        <row r="21">
          <cell r="A21"/>
        </row>
        <row r="22">
          <cell r="A22">
            <v>3</v>
          </cell>
        </row>
        <row r="23">
          <cell r="A23"/>
        </row>
        <row r="24">
          <cell r="A24"/>
        </row>
        <row r="28">
          <cell r="A28">
            <v>5</v>
          </cell>
        </row>
        <row r="33">
          <cell r="B33" t="str">
            <v>-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mus"/>
      <sheetName val="Cover"/>
      <sheetName val="Sheet2"/>
      <sheetName val="SKP"/>
      <sheetName val="PENGUKURAN"/>
      <sheetName val="PENILAIAN"/>
      <sheetName val="JAN-JUN"/>
      <sheetName val="1,  RENCANA SKP JF (M.I)"/>
      <sheetName val="2. KETERKAITAN JF (M.I)"/>
      <sheetName val="3. VERIFIKASI JF (M.I)"/>
      <sheetName val="4. PENETAPAN SKP"/>
      <sheetName val="5. SKP FINAL"/>
      <sheetName val="PENILAIAN2"/>
      <sheetName val="JUL-DES"/>
      <sheetName val="JAN-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6">
          <cell r="I16" t="str">
            <v>RPP</v>
          </cell>
        </row>
        <row r="17">
          <cell r="H17">
            <v>100</v>
          </cell>
        </row>
        <row r="18">
          <cell r="H18">
            <v>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M21"/>
  <sheetViews>
    <sheetView workbookViewId="0">
      <selection activeCell="M11" sqref="M11"/>
    </sheetView>
  </sheetViews>
  <sheetFormatPr defaultColWidth="0" defaultRowHeight="15" customHeight="1" zeroHeight="1" x14ac:dyDescent="0.25"/>
  <cols>
    <col min="1" max="13" width="9.140625" style="126" customWidth="1"/>
    <col min="14" max="16384" width="0" style="126" hidden="1"/>
  </cols>
  <sheetData>
    <row r="1" spans="1:13" s="65" customFormat="1" x14ac:dyDescent="0.25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2"/>
    </row>
    <row r="2" spans="1:13" s="65" customFormat="1" x14ac:dyDescent="0.25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2"/>
    </row>
    <row r="3" spans="1:13" s="65" customFormat="1" x14ac:dyDescent="0.25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2"/>
    </row>
    <row r="4" spans="1:13" s="65" customFormat="1" x14ac:dyDescent="0.25">
      <c r="A4" s="271"/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2"/>
    </row>
    <row r="5" spans="1:13" s="65" customFormat="1" x14ac:dyDescent="0.25">
      <c r="A5" s="271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2"/>
    </row>
    <row r="6" spans="1:13" s="65" customFormat="1" x14ac:dyDescent="0.25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2"/>
    </row>
    <row r="7" spans="1:13" s="65" customFormat="1" x14ac:dyDescent="0.25">
      <c r="A7" s="271"/>
      <c r="B7" s="271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2"/>
    </row>
    <row r="8" spans="1:13" s="65" customFormat="1" x14ac:dyDescent="0.25">
      <c r="A8" s="271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2"/>
    </row>
    <row r="9" spans="1:13" s="65" customFormat="1" x14ac:dyDescent="0.25">
      <c r="A9" s="271"/>
      <c r="B9" s="271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2"/>
    </row>
    <row r="10" spans="1:13" s="65" customFormat="1" x14ac:dyDescent="0.25">
      <c r="A10" s="271"/>
      <c r="B10" s="271"/>
      <c r="C10" s="271"/>
      <c r="D10" s="271"/>
      <c r="E10" s="271"/>
      <c r="F10" s="271"/>
      <c r="G10" s="271"/>
      <c r="H10" s="271"/>
      <c r="I10" s="271"/>
      <c r="J10" s="271"/>
      <c r="K10" s="271"/>
      <c r="L10" s="271"/>
      <c r="M10" s="272"/>
    </row>
    <row r="11" spans="1:13" s="65" customFormat="1" x14ac:dyDescent="0.25">
      <c r="A11" s="271"/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2"/>
    </row>
    <row r="12" spans="1:13" s="65" customFormat="1" ht="15" customHeight="1" x14ac:dyDescent="0.25">
      <c r="M12" s="272"/>
    </row>
    <row r="13" spans="1:13" s="65" customFormat="1" ht="15" customHeight="1" x14ac:dyDescent="0.25">
      <c r="M13" s="272"/>
    </row>
    <row r="14" spans="1:13" s="65" customFormat="1" ht="15" customHeight="1" x14ac:dyDescent="0.25">
      <c r="M14" s="272"/>
    </row>
    <row r="15" spans="1:13" s="65" customFormat="1" ht="15" customHeight="1" x14ac:dyDescent="0.25">
      <c r="M15" s="272"/>
    </row>
    <row r="16" spans="1:13" s="65" customFormat="1" ht="15" customHeight="1" x14ac:dyDescent="0.25">
      <c r="M16" s="272"/>
    </row>
    <row r="17" spans="1:13" s="65" customFormat="1" ht="15" customHeight="1" x14ac:dyDescent="0.25">
      <c r="M17" s="272"/>
    </row>
    <row r="18" spans="1:13" s="65" customFormat="1" ht="15" customHeight="1" x14ac:dyDescent="0.25">
      <c r="M18" s="272"/>
    </row>
    <row r="19" spans="1:13" s="65" customFormat="1" ht="15" customHeight="1" x14ac:dyDescent="0.25">
      <c r="M19" s="272"/>
    </row>
    <row r="20" spans="1:13" s="65" customFormat="1" ht="15" customHeight="1" x14ac:dyDescent="0.25">
      <c r="A20" s="272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</row>
    <row r="21" spans="1:13" s="65" customFormat="1" ht="15" customHeight="1" x14ac:dyDescent="0.25">
      <c r="A21" s="272"/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</row>
  </sheetData>
  <sheetProtection algorithmName="SHA-512" hashValue="i6shDhzWnfhByeUhJrbGAOJeNcTQ9l7TGMpbmXLFYEnD0Nrr4TnO73AeuBgNO5Q1Cop6pdGhob9b89CKdRTQ2A==" saltValue="wwE9kG9FI4vs8j9yqCfQdw==" spinCount="100000" sheet="1" objects="1" scenarios="1" selectLockedCells="1" selectUnlockedCell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Z29"/>
  <sheetViews>
    <sheetView workbookViewId="0">
      <selection sqref="A1:Q1"/>
    </sheetView>
  </sheetViews>
  <sheetFormatPr defaultColWidth="0" defaultRowHeight="15" customHeight="1" zeroHeight="1" x14ac:dyDescent="0.2"/>
  <cols>
    <col min="1" max="1" width="5.28515625" style="659" customWidth="1"/>
    <col min="2" max="2" width="14.42578125" style="660" customWidth="1"/>
    <col min="3" max="3" width="2.42578125" style="660" customWidth="1"/>
    <col min="4" max="4" width="25.85546875" style="660" customWidth="1"/>
    <col min="5" max="5" width="7.5703125" style="660" customWidth="1"/>
    <col min="6" max="6" width="3.28515625" style="660" customWidth="1"/>
    <col min="7" max="7" width="2.7109375" style="660" customWidth="1"/>
    <col min="8" max="8" width="20.140625" style="660" customWidth="1"/>
    <col min="9" max="9" width="2.42578125" style="660" customWidth="1"/>
    <col min="10" max="12" width="6.42578125" style="660" customWidth="1"/>
    <col min="13" max="13" width="2.7109375" style="660" customWidth="1"/>
    <col min="14" max="15" width="6.42578125" style="660" customWidth="1"/>
    <col min="16" max="16" width="1.140625" style="660" customWidth="1"/>
    <col min="17" max="17" width="1.42578125" style="660" customWidth="1"/>
    <col min="18" max="21" width="8.7109375" style="658" customWidth="1"/>
    <col min="22" max="26" width="8.7109375" style="658" hidden="1" customWidth="1"/>
    <col min="27" max="16384" width="14.42578125" style="658" hidden="1"/>
  </cols>
  <sheetData>
    <row r="1" spans="1:18" ht="15" customHeight="1" x14ac:dyDescent="0.2">
      <c r="A1" s="1062" t="s">
        <v>528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  <c r="L1" s="1062"/>
      <c r="M1" s="1062"/>
      <c r="N1" s="1062"/>
      <c r="O1" s="1062"/>
      <c r="P1" s="1062"/>
      <c r="Q1" s="1062"/>
      <c r="R1" s="662"/>
    </row>
    <row r="2" spans="1:18" ht="15" customHeight="1" x14ac:dyDescent="0.2">
      <c r="A2" s="1062" t="str">
        <f>"JABATAN "&amp;UPPER('DATA SKP'!F8)</f>
        <v>JABATAN GURU</v>
      </c>
      <c r="B2" s="1062"/>
      <c r="C2" s="1062"/>
      <c r="D2" s="1062"/>
      <c r="E2" s="1062"/>
      <c r="F2" s="1062"/>
      <c r="G2" s="1062"/>
      <c r="H2" s="1062"/>
      <c r="I2" s="1062"/>
      <c r="J2" s="1062"/>
      <c r="K2" s="1062"/>
      <c r="L2" s="1062"/>
      <c r="M2" s="1062"/>
      <c r="N2" s="1062"/>
      <c r="O2" s="1062"/>
      <c r="P2" s="1062"/>
      <c r="Q2" s="1062"/>
      <c r="R2" s="662"/>
    </row>
    <row r="3" spans="1:18" ht="15" customHeight="1" x14ac:dyDescent="0.2">
      <c r="A3" s="663"/>
      <c r="B3" s="663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662"/>
    </row>
    <row r="4" spans="1:18" ht="15" customHeight="1" x14ac:dyDescent="0.2">
      <c r="A4" s="663"/>
      <c r="B4" s="663"/>
      <c r="C4" s="540"/>
      <c r="D4" s="540"/>
      <c r="E4" s="540"/>
      <c r="F4" s="540"/>
      <c r="G4" s="540"/>
      <c r="H4" s="540"/>
      <c r="I4" s="540"/>
      <c r="J4" s="540" t="s">
        <v>419</v>
      </c>
      <c r="K4" s="540"/>
      <c r="L4" s="540"/>
      <c r="M4" s="540"/>
      <c r="N4" s="540"/>
      <c r="O4" s="540"/>
      <c r="P4" s="540"/>
      <c r="Q4" s="540"/>
      <c r="R4" s="662"/>
    </row>
    <row r="5" spans="1:18" ht="15" customHeight="1" x14ac:dyDescent="0.2">
      <c r="A5" s="540" t="s">
        <v>420</v>
      </c>
      <c r="B5" s="540"/>
      <c r="C5" s="540" t="s">
        <v>16</v>
      </c>
      <c r="D5" s="1063" t="str">
        <f>'DATA SKP'!E2</f>
        <v>: MTs Negeri 5 Sleman</v>
      </c>
      <c r="E5" s="1063"/>
      <c r="F5" s="1063"/>
      <c r="G5" s="1063"/>
      <c r="H5" s="540"/>
      <c r="I5" s="540"/>
      <c r="J5" s="540" t="str">
        <f>COVER!A12</f>
        <v>01 Januari s/d 31 Desember 2021</v>
      </c>
      <c r="K5" s="540"/>
      <c r="L5" s="540"/>
      <c r="M5" s="540"/>
      <c r="N5" s="540"/>
      <c r="O5" s="540"/>
      <c r="P5" s="540"/>
      <c r="Q5" s="540"/>
      <c r="R5" s="662"/>
    </row>
    <row r="6" spans="1:18" ht="15" customHeight="1" x14ac:dyDescent="0.2">
      <c r="A6" s="663"/>
      <c r="B6" s="540"/>
      <c r="C6" s="540"/>
      <c r="D6" s="664"/>
      <c r="E6" s="664"/>
      <c r="F6" s="664"/>
      <c r="G6" s="664"/>
      <c r="H6" s="540"/>
      <c r="I6" s="540"/>
      <c r="J6" s="665"/>
      <c r="K6" s="540"/>
      <c r="L6" s="540"/>
      <c r="M6" s="540"/>
      <c r="N6" s="540"/>
      <c r="O6" s="540"/>
      <c r="P6" s="540"/>
      <c r="Q6" s="540"/>
      <c r="R6" s="662"/>
    </row>
    <row r="7" spans="1:18" ht="18" customHeight="1" x14ac:dyDescent="0.2">
      <c r="A7" s="1088" t="s">
        <v>45</v>
      </c>
      <c r="B7" s="1089"/>
      <c r="C7" s="1089"/>
      <c r="D7" s="1089"/>
      <c r="E7" s="1089"/>
      <c r="F7" s="1089"/>
      <c r="G7" s="1090"/>
      <c r="H7" s="1088" t="s">
        <v>529</v>
      </c>
      <c r="I7" s="1089"/>
      <c r="J7" s="1089"/>
      <c r="K7" s="1089"/>
      <c r="L7" s="1089"/>
      <c r="M7" s="1089"/>
      <c r="N7" s="1089"/>
      <c r="O7" s="1089"/>
      <c r="P7" s="1089"/>
      <c r="Q7" s="1090"/>
      <c r="R7" s="662"/>
    </row>
    <row r="8" spans="1:18" ht="18.75" customHeight="1" x14ac:dyDescent="0.2">
      <c r="A8" s="1086" t="s">
        <v>2</v>
      </c>
      <c r="B8" s="1087"/>
      <c r="C8" s="895" t="s">
        <v>16</v>
      </c>
      <c r="D8" s="896" t="str">
        <f>'Penilaian Prestasi'!D8</f>
        <v>Drs. Busyroni Majid, M.Si</v>
      </c>
      <c r="E8" s="897"/>
      <c r="F8" s="897"/>
      <c r="G8" s="898"/>
      <c r="H8" s="899" t="s">
        <v>2</v>
      </c>
      <c r="I8" s="895" t="s">
        <v>16</v>
      </c>
      <c r="J8" s="900" t="str">
        <f>'DATA SKP'!E5</f>
        <v>Sirajudin, S.Pd.</v>
      </c>
      <c r="K8" s="901"/>
      <c r="L8" s="901"/>
      <c r="M8" s="901"/>
      <c r="N8" s="901"/>
      <c r="O8" s="901"/>
      <c r="P8" s="901"/>
      <c r="Q8" s="902"/>
      <c r="R8" s="662"/>
    </row>
    <row r="9" spans="1:18" ht="18.75" customHeight="1" x14ac:dyDescent="0.2">
      <c r="A9" s="1086" t="s">
        <v>3</v>
      </c>
      <c r="B9" s="1087"/>
      <c r="C9" s="895" t="s">
        <v>16</v>
      </c>
      <c r="D9" s="896" t="str">
        <f>'Penilaian Prestasi'!D9</f>
        <v>19690921 199503 1 001</v>
      </c>
      <c r="E9" s="897"/>
      <c r="F9" s="897"/>
      <c r="G9" s="898"/>
      <c r="H9" s="899" t="s">
        <v>3</v>
      </c>
      <c r="I9" s="895" t="s">
        <v>16</v>
      </c>
      <c r="J9" s="900" t="str">
        <f>'DATA SKP'!E6</f>
        <v>19730115 200710 1 001</v>
      </c>
      <c r="K9" s="901"/>
      <c r="L9" s="901"/>
      <c r="M9" s="901"/>
      <c r="N9" s="901"/>
      <c r="O9" s="901"/>
      <c r="P9" s="901"/>
      <c r="Q9" s="902"/>
      <c r="R9" s="662"/>
    </row>
    <row r="10" spans="1:18" ht="18.75" customHeight="1" x14ac:dyDescent="0.2">
      <c r="A10" s="1086" t="s">
        <v>106</v>
      </c>
      <c r="B10" s="1087"/>
      <c r="C10" s="895" t="s">
        <v>16</v>
      </c>
      <c r="D10" s="896" t="str">
        <f>'Penilaian Prestasi'!D10</f>
        <v>Pembina, Gol. IV/a</v>
      </c>
      <c r="E10" s="897"/>
      <c r="F10" s="897"/>
      <c r="G10" s="898"/>
      <c r="H10" s="899" t="s">
        <v>106</v>
      </c>
      <c r="I10" s="895" t="s">
        <v>16</v>
      </c>
      <c r="J10" s="900" t="str">
        <f>'DATA SKP'!E7</f>
        <v>Penata Muda, Gol. III/a</v>
      </c>
      <c r="K10" s="901"/>
      <c r="L10" s="901"/>
      <c r="M10" s="901"/>
      <c r="N10" s="901"/>
      <c r="O10" s="901"/>
      <c r="P10" s="901"/>
      <c r="Q10" s="902"/>
      <c r="R10" s="662"/>
    </row>
    <row r="11" spans="1:18" ht="18.75" customHeight="1" x14ac:dyDescent="0.2">
      <c r="A11" s="1086" t="s">
        <v>4</v>
      </c>
      <c r="B11" s="1087"/>
      <c r="C11" s="895" t="s">
        <v>16</v>
      </c>
      <c r="D11" s="896" t="str">
        <f>'DATA SKP2'!G15</f>
        <v>Kepala Madrasah</v>
      </c>
      <c r="E11" s="897"/>
      <c r="F11" s="897"/>
      <c r="G11" s="898"/>
      <c r="H11" s="899" t="s">
        <v>4</v>
      </c>
      <c r="I11" s="895" t="s">
        <v>16</v>
      </c>
      <c r="J11" s="900" t="str">
        <f>'DATA SKP'!E8</f>
        <v>Guru Pertama</v>
      </c>
      <c r="K11" s="901"/>
      <c r="L11" s="901"/>
      <c r="M11" s="901"/>
      <c r="N11" s="901"/>
      <c r="O11" s="901"/>
      <c r="P11" s="901"/>
      <c r="Q11" s="902"/>
      <c r="R11" s="662"/>
    </row>
    <row r="12" spans="1:18" ht="18.75" customHeight="1" x14ac:dyDescent="0.2">
      <c r="A12" s="1091" t="s">
        <v>5</v>
      </c>
      <c r="B12" s="1092"/>
      <c r="C12" s="903" t="s">
        <v>16</v>
      </c>
      <c r="D12" s="896" t="str">
        <f>'Penilaian Prestasi'!D12</f>
        <v>MTs Negeri 5 Sleman</v>
      </c>
      <c r="E12" s="904"/>
      <c r="F12" s="904"/>
      <c r="G12" s="903"/>
      <c r="H12" s="905" t="s">
        <v>5</v>
      </c>
      <c r="I12" s="903" t="s">
        <v>16</v>
      </c>
      <c r="J12" s="900" t="str">
        <f>'DATA SKP'!E9</f>
        <v>MTs Negeri 5 Sleman</v>
      </c>
      <c r="K12" s="906"/>
      <c r="L12" s="906"/>
      <c r="M12" s="906"/>
      <c r="N12" s="906"/>
      <c r="O12" s="906"/>
      <c r="P12" s="906"/>
      <c r="Q12" s="907"/>
      <c r="R12" s="662"/>
    </row>
    <row r="13" spans="1:18" s="661" customFormat="1" ht="24" customHeight="1" x14ac:dyDescent="0.2">
      <c r="A13" s="1077" t="s">
        <v>49</v>
      </c>
      <c r="B13" s="1078"/>
      <c r="C13" s="1078"/>
      <c r="D13" s="1078"/>
      <c r="E13" s="1078"/>
      <c r="F13" s="1078"/>
      <c r="G13" s="1079"/>
      <c r="H13" s="1096" t="s">
        <v>530</v>
      </c>
      <c r="I13" s="1097"/>
      <c r="J13" s="1097"/>
      <c r="K13" s="1098"/>
      <c r="L13" s="1096" t="s">
        <v>73</v>
      </c>
      <c r="M13" s="1097"/>
      <c r="N13" s="1097"/>
      <c r="O13" s="1097"/>
      <c r="P13" s="1097"/>
      <c r="Q13" s="1098"/>
      <c r="R13" s="679"/>
    </row>
    <row r="14" spans="1:18" ht="30" customHeight="1" x14ac:dyDescent="0.2">
      <c r="A14" s="1099" t="s">
        <v>531</v>
      </c>
      <c r="B14" s="1100"/>
      <c r="C14" s="1100"/>
      <c r="D14" s="1100"/>
      <c r="E14" s="1100"/>
      <c r="F14" s="1100"/>
      <c r="G14" s="1101"/>
      <c r="H14" s="1093">
        <f>'Penilaian Prestasi'!H15:O15</f>
        <v>85.333333333333329</v>
      </c>
      <c r="I14" s="1094"/>
      <c r="J14" s="1094"/>
      <c r="K14" s="1095"/>
      <c r="L14" s="1093">
        <f>IF((H14&gt;90)*AND(H14&lt;100),110+((10/8)*(H14-91)),IF((H14&gt;75)*AND(H14&lt;91),90+((19/14)*(H14-76)),IF((H14&gt;60)*AND(H14&lt;76),70+((19/14)*(H14-61)),IF((H14&gt;50)*AND(H14&lt;61),50+((19/9)*(H14-51)),IF(H14&lt;=50,(H14/50)*49,120)))))</f>
        <v>102.66666666666666</v>
      </c>
      <c r="M14" s="1094"/>
      <c r="N14" s="1094"/>
      <c r="O14" s="1094"/>
      <c r="P14" s="1094"/>
      <c r="Q14" s="1095"/>
      <c r="R14" s="662"/>
    </row>
    <row r="15" spans="1:18" ht="30" customHeight="1" x14ac:dyDescent="0.2">
      <c r="A15" s="1099" t="s">
        <v>532</v>
      </c>
      <c r="B15" s="1100"/>
      <c r="C15" s="1100"/>
      <c r="D15" s="1100"/>
      <c r="E15" s="1100"/>
      <c r="F15" s="1100"/>
      <c r="G15" s="1101"/>
      <c r="H15" s="1093">
        <f>'Penilaian Prestasi'!H16:O16</f>
        <v>84.1</v>
      </c>
      <c r="I15" s="1094"/>
      <c r="J15" s="1094"/>
      <c r="K15" s="1095"/>
      <c r="L15" s="1093">
        <f t="shared" ref="L15:L16" si="0">IF((H15&gt;90)*AND(H15&lt;100),110+((10/8)*(H15-91)),IF((H15&gt;75)*AND(H15&lt;91),90+((19/14)*(H15-76)),IF((H15&gt;60)*AND(H15&lt;76),70+((19/14)*(H15-61)),IF((H15&gt;50)*AND(H15&lt;61),50+((19/9)*(H15-51)),IF(H15&lt;=50,(H15/50)*49,120)))))</f>
        <v>100.99285714285713</v>
      </c>
      <c r="M15" s="1094"/>
      <c r="N15" s="1094"/>
      <c r="O15" s="1094"/>
      <c r="P15" s="1094"/>
      <c r="Q15" s="1095"/>
      <c r="R15" s="662"/>
    </row>
    <row r="16" spans="1:18" ht="30" customHeight="1" x14ac:dyDescent="0.2">
      <c r="A16" s="1073" t="s">
        <v>533</v>
      </c>
      <c r="B16" s="1074"/>
      <c r="C16" s="1074"/>
      <c r="D16" s="1074"/>
      <c r="E16" s="1074"/>
      <c r="F16" s="1074"/>
      <c r="G16" s="1075"/>
      <c r="H16" s="1093">
        <f>(60%*H14)+(40%*H15)</f>
        <v>84.84</v>
      </c>
      <c r="I16" s="1094"/>
      <c r="J16" s="1094"/>
      <c r="K16" s="1095"/>
      <c r="L16" s="1093">
        <f t="shared" si="0"/>
        <v>101.99714285714286</v>
      </c>
      <c r="M16" s="1094"/>
      <c r="N16" s="1094"/>
      <c r="O16" s="1094"/>
      <c r="P16" s="1094"/>
      <c r="Q16" s="1095"/>
      <c r="R16" s="662"/>
    </row>
    <row r="17" spans="1:18" ht="15.75" customHeight="1" x14ac:dyDescent="0.2">
      <c r="A17" s="663"/>
      <c r="B17" s="540"/>
      <c r="C17" s="540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662"/>
    </row>
    <row r="18" spans="1:18" ht="15.75" customHeight="1" x14ac:dyDescent="0.2">
      <c r="A18" s="663"/>
      <c r="B18" s="540"/>
      <c r="C18" s="540"/>
      <c r="D18" s="540"/>
      <c r="E18" s="540"/>
      <c r="F18" s="540"/>
      <c r="G18" s="540"/>
      <c r="H18" s="540"/>
      <c r="I18" s="540"/>
      <c r="J18" s="540"/>
      <c r="K18" s="540"/>
      <c r="L18" s="540"/>
      <c r="M18" s="540"/>
      <c r="N18" s="540"/>
      <c r="O18" s="540"/>
      <c r="P18" s="540"/>
      <c r="Q18" s="540"/>
      <c r="R18" s="662"/>
    </row>
    <row r="19" spans="1:18" ht="15.75" customHeight="1" x14ac:dyDescent="0.2">
      <c r="A19" s="663"/>
      <c r="B19" s="540"/>
      <c r="C19" s="540"/>
      <c r="D19" s="540"/>
      <c r="E19" s="540"/>
      <c r="F19" s="540"/>
      <c r="G19" s="540"/>
      <c r="H19" s="540"/>
      <c r="I19" s="540"/>
      <c r="J19" s="540" t="str">
        <f>'Penilaian Prestasi'!J20</f>
        <v>Sleman, 14 Juli 2021</v>
      </c>
      <c r="K19" s="540"/>
      <c r="L19" s="540"/>
      <c r="M19" s="540"/>
      <c r="N19" s="540"/>
      <c r="O19" s="540"/>
      <c r="P19" s="540"/>
      <c r="Q19" s="540"/>
      <c r="R19" s="662"/>
    </row>
    <row r="20" spans="1:18" s="660" customFormat="1" ht="15.75" customHeight="1" x14ac:dyDescent="0.2">
      <c r="A20" s="663"/>
      <c r="B20" s="540" t="s">
        <v>13</v>
      </c>
      <c r="C20" s="540"/>
      <c r="D20" s="540"/>
      <c r="E20" s="540"/>
      <c r="F20" s="540"/>
      <c r="G20" s="540"/>
      <c r="H20" s="540"/>
      <c r="I20" s="540"/>
      <c r="J20" s="540" t="s">
        <v>137</v>
      </c>
      <c r="K20" s="540"/>
      <c r="L20" s="540"/>
      <c r="M20" s="540"/>
      <c r="N20" s="540"/>
      <c r="O20" s="540"/>
      <c r="P20" s="540"/>
      <c r="Q20" s="540"/>
      <c r="R20" s="540"/>
    </row>
    <row r="21" spans="1:18" s="660" customFormat="1" ht="15.75" customHeight="1" x14ac:dyDescent="0.2">
      <c r="A21" s="663"/>
      <c r="B21" s="540"/>
      <c r="C21" s="540"/>
      <c r="D21" s="540"/>
      <c r="E21" s="540"/>
      <c r="F21" s="540"/>
      <c r="G21" s="540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40"/>
    </row>
    <row r="22" spans="1:18" s="660" customFormat="1" ht="15.75" customHeight="1" x14ac:dyDescent="0.2">
      <c r="A22" s="663"/>
      <c r="B22" s="540"/>
      <c r="C22" s="540"/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</row>
    <row r="23" spans="1:18" s="660" customFormat="1" ht="15.75" customHeight="1" x14ac:dyDescent="0.2">
      <c r="A23" s="663"/>
      <c r="B23" s="540"/>
      <c r="C23" s="540"/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  <c r="P23" s="540"/>
      <c r="Q23" s="540"/>
      <c r="R23" s="540"/>
    </row>
    <row r="24" spans="1:18" s="660" customFormat="1" ht="15.75" customHeight="1" x14ac:dyDescent="0.2">
      <c r="A24" s="663"/>
      <c r="B24" s="540"/>
      <c r="C24" s="540"/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</row>
    <row r="25" spans="1:18" s="660" customFormat="1" ht="15.75" customHeight="1" x14ac:dyDescent="0.2">
      <c r="A25" s="663"/>
      <c r="B25" s="540" t="str">
        <f>D8</f>
        <v>Drs. Busyroni Majid, M.Si</v>
      </c>
      <c r="C25" s="540"/>
      <c r="D25" s="540"/>
      <c r="E25" s="540"/>
      <c r="F25" s="540"/>
      <c r="G25" s="540"/>
      <c r="H25" s="540"/>
      <c r="I25" s="540"/>
      <c r="J25" s="540" t="str">
        <f>J8</f>
        <v>Sirajudin, S.Pd.</v>
      </c>
      <c r="K25" s="540"/>
      <c r="L25" s="540"/>
      <c r="M25" s="540"/>
      <c r="N25" s="540"/>
      <c r="O25" s="540"/>
      <c r="P25" s="540"/>
      <c r="Q25" s="540"/>
      <c r="R25" s="540"/>
    </row>
    <row r="26" spans="1:18" s="660" customFormat="1" ht="15.75" customHeight="1" x14ac:dyDescent="0.2">
      <c r="A26" s="663"/>
      <c r="B26" s="540" t="str">
        <f>"NIP. "&amp;D9</f>
        <v>NIP. 19690921 199503 1 001</v>
      </c>
      <c r="C26" s="540"/>
      <c r="D26" s="540"/>
      <c r="E26" s="540"/>
      <c r="F26" s="540"/>
      <c r="G26" s="540"/>
      <c r="H26" s="540"/>
      <c r="I26" s="540"/>
      <c r="J26" s="540" t="str">
        <f>"NIP. "&amp;J9</f>
        <v>NIP. 19730115 200710 1 001</v>
      </c>
      <c r="K26" s="540"/>
      <c r="L26" s="540"/>
      <c r="M26" s="540"/>
      <c r="N26" s="540"/>
      <c r="O26" s="540"/>
      <c r="P26" s="540"/>
      <c r="Q26" s="540"/>
      <c r="R26" s="540"/>
    </row>
    <row r="27" spans="1:18" s="659" customFormat="1" ht="15.75" customHeight="1" x14ac:dyDescent="0.2">
      <c r="A27" s="663"/>
      <c r="B27" s="540"/>
      <c r="C27" s="540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/>
      <c r="Q27" s="540"/>
      <c r="R27" s="663"/>
    </row>
    <row r="28" spans="1:18" ht="15" customHeight="1" x14ac:dyDescent="0.2">
      <c r="A28" s="663"/>
      <c r="B28" s="540"/>
      <c r="C28" s="540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662"/>
    </row>
    <row r="29" spans="1:18" ht="15" hidden="1" customHeight="1" x14ac:dyDescent="0.2">
      <c r="A29" s="663"/>
      <c r="B29" s="540"/>
      <c r="C29" s="540"/>
      <c r="D29" s="540"/>
      <c r="E29" s="540"/>
      <c r="F29" s="540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662"/>
    </row>
  </sheetData>
  <sheetProtection algorithmName="SHA-512" hashValue="k79eEqEQahHmUubl8zbNw665cNNe5W3ZLwNU4z/GGdhYFBcmUubKyXPp9bPL3IFoaWErodsO2iZsHQcFKd2itg==" saltValue="qfxT+uQ0Y2ubjezLAJQX9g==" spinCount="100000" sheet="1" formatCells="0" formatColumns="0" formatRows="0"/>
  <mergeCells count="22">
    <mergeCell ref="A16:G16"/>
    <mergeCell ref="H16:K16"/>
    <mergeCell ref="L16:Q16"/>
    <mergeCell ref="L13:Q13"/>
    <mergeCell ref="A14:G14"/>
    <mergeCell ref="H14:K14"/>
    <mergeCell ref="L14:Q14"/>
    <mergeCell ref="A15:G15"/>
    <mergeCell ref="H15:K15"/>
    <mergeCell ref="L15:Q15"/>
    <mergeCell ref="H13:K13"/>
    <mergeCell ref="A9:B9"/>
    <mergeCell ref="A10:B10"/>
    <mergeCell ref="A11:B11"/>
    <mergeCell ref="A12:B12"/>
    <mergeCell ref="A13:G13"/>
    <mergeCell ref="A8:B8"/>
    <mergeCell ref="A1:Q1"/>
    <mergeCell ref="A2:Q2"/>
    <mergeCell ref="D5:G5"/>
    <mergeCell ref="A7:G7"/>
    <mergeCell ref="H7:Q7"/>
  </mergeCells>
  <pageMargins left="0.49" right="0.51181102362204722" top="0.74803149606299213" bottom="0.51181102362204722" header="0" footer="0"/>
  <pageSetup paperSize="9" scale="75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Q82"/>
  <sheetViews>
    <sheetView topLeftCell="A25" workbookViewId="0">
      <selection activeCell="S33" sqref="S33"/>
    </sheetView>
  </sheetViews>
  <sheetFormatPr defaultColWidth="14.42578125" defaultRowHeight="15" customHeight="1" x14ac:dyDescent="0.2"/>
  <cols>
    <col min="1" max="1" width="5.28515625" style="483" customWidth="1"/>
    <col min="2" max="2" width="23.5703125" style="485" customWidth="1"/>
    <col min="3" max="3" width="2.42578125" style="485" customWidth="1"/>
    <col min="4" max="4" width="25.85546875" style="485" customWidth="1"/>
    <col min="5" max="7" width="8.7109375" style="485" customWidth="1"/>
    <col min="8" max="8" width="23.5703125" style="485" customWidth="1"/>
    <col min="9" max="9" width="2.42578125" style="485" customWidth="1"/>
    <col min="10" max="15" width="6.42578125" style="485" customWidth="1"/>
    <col min="16" max="16" width="2.5703125" style="485" customWidth="1"/>
    <col min="17" max="17" width="3.5703125" style="485" customWidth="1"/>
    <col min="18" max="26" width="8.7109375" style="484" customWidth="1"/>
    <col min="27" max="16384" width="14.42578125" style="484"/>
  </cols>
  <sheetData>
    <row r="1" spans="1:17" ht="15" customHeight="1" x14ac:dyDescent="0.2">
      <c r="B1" s="1102"/>
      <c r="C1" s="1102"/>
      <c r="D1" s="1102"/>
      <c r="E1" s="1102"/>
      <c r="F1" s="1102"/>
      <c r="G1" s="1102"/>
      <c r="H1" s="1102"/>
      <c r="I1" s="1102"/>
      <c r="J1" s="1102"/>
      <c r="K1" s="1102"/>
      <c r="L1" s="1102"/>
      <c r="M1" s="1102"/>
      <c r="N1" s="1102"/>
      <c r="O1" s="1102"/>
      <c r="P1" s="1102"/>
      <c r="Q1" s="1102"/>
    </row>
    <row r="2" spans="1:17" ht="15" customHeight="1" x14ac:dyDescent="0.2">
      <c r="A2" s="1103" t="s">
        <v>553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  <c r="O2" s="1103"/>
      <c r="P2" s="1103"/>
      <c r="Q2" s="1103"/>
    </row>
    <row r="3" spans="1:17" ht="15" customHeight="1" x14ac:dyDescent="0.2">
      <c r="B3" s="483"/>
    </row>
    <row r="4" spans="1:17" ht="15" customHeight="1" x14ac:dyDescent="0.2">
      <c r="B4" s="483"/>
      <c r="J4" s="485" t="s">
        <v>419</v>
      </c>
    </row>
    <row r="5" spans="1:17" ht="15" customHeight="1" x14ac:dyDescent="0.2">
      <c r="B5" s="485" t="s">
        <v>420</v>
      </c>
      <c r="C5" s="485" t="s">
        <v>16</v>
      </c>
      <c r="D5" s="1104" t="e">
        <f>#REF!</f>
        <v>#REF!</v>
      </c>
      <c r="E5" s="1104"/>
      <c r="F5" s="1104"/>
      <c r="G5" s="1104"/>
      <c r="J5" s="485" t="e">
        <f>#REF!</f>
        <v>#REF!</v>
      </c>
    </row>
    <row r="6" spans="1:17" ht="8.25" customHeight="1" x14ac:dyDescent="0.2">
      <c r="D6" s="486"/>
      <c r="E6" s="486"/>
      <c r="F6" s="486"/>
      <c r="G6" s="486"/>
      <c r="J6" s="487"/>
    </row>
    <row r="7" spans="1:17" ht="15" customHeight="1" x14ac:dyDescent="0.2">
      <c r="A7" s="1105" t="s">
        <v>85</v>
      </c>
      <c r="B7" s="1106"/>
      <c r="C7" s="1106"/>
      <c r="D7" s="1106"/>
      <c r="E7" s="1106"/>
      <c r="F7" s="1106"/>
      <c r="G7" s="1107"/>
      <c r="H7" s="1105" t="s">
        <v>86</v>
      </c>
      <c r="I7" s="1106"/>
      <c r="J7" s="1106"/>
      <c r="K7" s="1106"/>
      <c r="L7" s="1106"/>
      <c r="M7" s="1106"/>
      <c r="N7" s="1106"/>
      <c r="O7" s="1106"/>
      <c r="P7" s="1106"/>
      <c r="Q7" s="1107"/>
    </row>
    <row r="8" spans="1:17" ht="15" customHeight="1" x14ac:dyDescent="0.2">
      <c r="A8" s="488"/>
      <c r="B8" s="489" t="s">
        <v>2</v>
      </c>
      <c r="C8" s="490" t="s">
        <v>16</v>
      </c>
      <c r="D8" s="491" t="s">
        <v>347</v>
      </c>
      <c r="E8" s="492"/>
      <c r="F8" s="492"/>
      <c r="G8" s="493"/>
      <c r="H8" s="494" t="s">
        <v>2</v>
      </c>
      <c r="I8" s="490" t="s">
        <v>16</v>
      </c>
      <c r="J8" s="491" t="s">
        <v>421</v>
      </c>
      <c r="K8" s="495"/>
      <c r="L8" s="495"/>
      <c r="M8" s="495"/>
      <c r="N8" s="495"/>
      <c r="O8" s="495"/>
      <c r="P8" s="495"/>
      <c r="Q8" s="496"/>
    </row>
    <row r="9" spans="1:17" ht="15" customHeight="1" x14ac:dyDescent="0.2">
      <c r="A9" s="488"/>
      <c r="B9" s="489" t="s">
        <v>3</v>
      </c>
      <c r="C9" s="490" t="s">
        <v>16</v>
      </c>
      <c r="D9" s="497" t="s">
        <v>422</v>
      </c>
      <c r="E9" s="492"/>
      <c r="F9" s="492"/>
      <c r="G9" s="493"/>
      <c r="H9" s="494" t="s">
        <v>3</v>
      </c>
      <c r="I9" s="490" t="s">
        <v>16</v>
      </c>
      <c r="J9" s="498" t="s">
        <v>423</v>
      </c>
      <c r="K9" s="495"/>
      <c r="L9" s="495"/>
      <c r="M9" s="495"/>
      <c r="N9" s="495"/>
      <c r="O9" s="495"/>
      <c r="P9" s="495"/>
      <c r="Q9" s="496"/>
    </row>
    <row r="10" spans="1:17" ht="15" customHeight="1" x14ac:dyDescent="0.2">
      <c r="A10" s="488"/>
      <c r="B10" s="489" t="s">
        <v>106</v>
      </c>
      <c r="C10" s="490" t="s">
        <v>16</v>
      </c>
      <c r="D10" s="491" t="s">
        <v>424</v>
      </c>
      <c r="E10" s="492"/>
      <c r="F10" s="492"/>
      <c r="G10" s="493"/>
      <c r="H10" s="494" t="s">
        <v>106</v>
      </c>
      <c r="I10" s="490" t="s">
        <v>16</v>
      </c>
      <c r="J10" s="491" t="s">
        <v>424</v>
      </c>
      <c r="K10" s="495"/>
      <c r="L10" s="495"/>
      <c r="M10" s="495"/>
      <c r="N10" s="495"/>
      <c r="O10" s="495"/>
      <c r="P10" s="495"/>
      <c r="Q10" s="496"/>
    </row>
    <row r="11" spans="1:17" ht="15" customHeight="1" x14ac:dyDescent="0.2">
      <c r="A11" s="488"/>
      <c r="B11" s="489" t="s">
        <v>4</v>
      </c>
      <c r="C11" s="490" t="s">
        <v>16</v>
      </c>
      <c r="D11" s="491" t="s">
        <v>58</v>
      </c>
      <c r="E11" s="492"/>
      <c r="F11" s="492"/>
      <c r="G11" s="493"/>
      <c r="H11" s="494" t="s">
        <v>4</v>
      </c>
      <c r="I11" s="490" t="s">
        <v>16</v>
      </c>
      <c r="J11" s="491" t="s">
        <v>425</v>
      </c>
      <c r="K11" s="495"/>
      <c r="L11" s="495"/>
      <c r="M11" s="495"/>
      <c r="N11" s="495"/>
      <c r="O11" s="495"/>
      <c r="P11" s="495"/>
      <c r="Q11" s="496"/>
    </row>
    <row r="12" spans="1:17" ht="15" customHeight="1" x14ac:dyDescent="0.2">
      <c r="A12" s="488"/>
      <c r="B12" s="489" t="s">
        <v>5</v>
      </c>
      <c r="C12" s="490" t="s">
        <v>16</v>
      </c>
      <c r="D12" s="1104" t="s">
        <v>62</v>
      </c>
      <c r="E12" s="1104"/>
      <c r="F12" s="1104"/>
      <c r="G12" s="1104"/>
      <c r="H12" s="494" t="s">
        <v>5</v>
      </c>
      <c r="I12" s="490" t="s">
        <v>16</v>
      </c>
      <c r="J12" s="494" t="s">
        <v>426</v>
      </c>
      <c r="K12" s="495"/>
      <c r="L12" s="495"/>
      <c r="M12" s="495"/>
      <c r="N12" s="495"/>
      <c r="O12" s="495"/>
      <c r="P12" s="495"/>
      <c r="Q12" s="496"/>
    </row>
    <row r="13" spans="1:17" s="500" customFormat="1" ht="24" customHeight="1" x14ac:dyDescent="0.2">
      <c r="A13" s="499" t="s">
        <v>1</v>
      </c>
      <c r="B13" s="1113" t="s">
        <v>351</v>
      </c>
      <c r="C13" s="1114"/>
      <c r="D13" s="1115"/>
      <c r="E13" s="1113" t="s">
        <v>353</v>
      </c>
      <c r="F13" s="1114"/>
      <c r="G13" s="1114"/>
      <c r="H13" s="1115"/>
      <c r="I13" s="1113" t="s">
        <v>7</v>
      </c>
      <c r="J13" s="1114"/>
      <c r="K13" s="1114"/>
      <c r="L13" s="1114"/>
      <c r="M13" s="1114"/>
      <c r="N13" s="1114"/>
      <c r="O13" s="1114"/>
      <c r="P13" s="1114"/>
      <c r="Q13" s="1115"/>
    </row>
    <row r="14" spans="1:17" x14ac:dyDescent="0.2">
      <c r="A14" s="501" t="s">
        <v>354</v>
      </c>
      <c r="B14" s="1116" t="s">
        <v>355</v>
      </c>
      <c r="C14" s="1117"/>
      <c r="D14" s="1118"/>
      <c r="E14" s="1116" t="s">
        <v>356</v>
      </c>
      <c r="F14" s="1117"/>
      <c r="G14" s="1117"/>
      <c r="H14" s="1118"/>
      <c r="I14" s="1116" t="s">
        <v>357</v>
      </c>
      <c r="J14" s="1117"/>
      <c r="K14" s="1117"/>
      <c r="L14" s="1117"/>
      <c r="M14" s="1117"/>
      <c r="N14" s="1117"/>
      <c r="O14" s="1117"/>
      <c r="P14" s="1117"/>
      <c r="Q14" s="1118"/>
    </row>
    <row r="15" spans="1:17" x14ac:dyDescent="0.2">
      <c r="A15" s="1108" t="s">
        <v>360</v>
      </c>
      <c r="B15" s="1109"/>
      <c r="C15" s="1109"/>
      <c r="D15" s="1109"/>
      <c r="E15" s="1109"/>
      <c r="F15" s="1109"/>
      <c r="G15" s="1109"/>
      <c r="H15" s="1109"/>
      <c r="I15" s="1109"/>
      <c r="J15" s="1109"/>
      <c r="K15" s="1109"/>
      <c r="L15" s="1109"/>
      <c r="M15" s="1109"/>
      <c r="N15" s="1109"/>
      <c r="O15" s="1109"/>
      <c r="P15" s="1109"/>
      <c r="Q15" s="1110"/>
    </row>
    <row r="16" spans="1:17" ht="45" customHeight="1" x14ac:dyDescent="0.2">
      <c r="A16" s="502">
        <v>1</v>
      </c>
      <c r="B16" s="1111" t="s">
        <v>554</v>
      </c>
      <c r="C16" s="1111"/>
      <c r="D16" s="1111"/>
      <c r="E16" s="1111" t="s">
        <v>427</v>
      </c>
      <c r="F16" s="1111"/>
      <c r="G16" s="1111"/>
      <c r="H16" s="1111"/>
      <c r="I16" s="1112" t="s">
        <v>428</v>
      </c>
      <c r="J16" s="1112"/>
      <c r="K16" s="1112"/>
      <c r="L16" s="1112"/>
      <c r="M16" s="1112"/>
      <c r="N16" s="1112"/>
      <c r="O16" s="1112"/>
      <c r="P16" s="1112"/>
      <c r="Q16" s="1112"/>
    </row>
    <row r="17" spans="1:17" ht="30" customHeight="1" x14ac:dyDescent="0.2">
      <c r="A17" s="502"/>
      <c r="B17" s="1111"/>
      <c r="C17" s="1111"/>
      <c r="D17" s="1111"/>
      <c r="E17" s="1111" t="s">
        <v>429</v>
      </c>
      <c r="F17" s="1111"/>
      <c r="G17" s="1111"/>
      <c r="H17" s="1111"/>
      <c r="I17" s="1112" t="s">
        <v>428</v>
      </c>
      <c r="J17" s="1112"/>
      <c r="K17" s="1112"/>
      <c r="L17" s="1112"/>
      <c r="M17" s="1112"/>
      <c r="N17" s="1112"/>
      <c r="O17" s="1112"/>
      <c r="P17" s="1112"/>
      <c r="Q17" s="1112"/>
    </row>
    <row r="18" spans="1:17" ht="30" customHeight="1" x14ac:dyDescent="0.2">
      <c r="A18" s="502"/>
      <c r="B18" s="1111"/>
      <c r="C18" s="1111"/>
      <c r="D18" s="1111"/>
      <c r="E18" s="1111" t="s">
        <v>430</v>
      </c>
      <c r="F18" s="1111"/>
      <c r="G18" s="1111"/>
      <c r="H18" s="1111"/>
      <c r="I18" s="1112" t="s">
        <v>428</v>
      </c>
      <c r="J18" s="1112"/>
      <c r="K18" s="1112"/>
      <c r="L18" s="1112"/>
      <c r="M18" s="1112"/>
      <c r="N18" s="1112"/>
      <c r="O18" s="1112"/>
      <c r="P18" s="1112"/>
      <c r="Q18" s="1112"/>
    </row>
    <row r="19" spans="1:17" ht="30" customHeight="1" x14ac:dyDescent="0.2">
      <c r="A19" s="502">
        <v>2</v>
      </c>
      <c r="B19" s="1111" t="s">
        <v>555</v>
      </c>
      <c r="C19" s="1111"/>
      <c r="D19" s="1111"/>
      <c r="E19" s="1111" t="s">
        <v>431</v>
      </c>
      <c r="F19" s="1111"/>
      <c r="G19" s="1111"/>
      <c r="H19" s="1111"/>
      <c r="I19" s="1112" t="s">
        <v>428</v>
      </c>
      <c r="J19" s="1112"/>
      <c r="K19" s="1112"/>
      <c r="L19" s="1112"/>
      <c r="M19" s="1112"/>
      <c r="N19" s="1112"/>
      <c r="O19" s="1112"/>
      <c r="P19" s="1112"/>
      <c r="Q19" s="1112"/>
    </row>
    <row r="20" spans="1:17" ht="30" customHeight="1" x14ac:dyDescent="0.2">
      <c r="A20" s="502"/>
      <c r="B20" s="1111"/>
      <c r="C20" s="1111"/>
      <c r="D20" s="1111"/>
      <c r="E20" s="1111" t="s">
        <v>432</v>
      </c>
      <c r="F20" s="1111"/>
      <c r="G20" s="1111"/>
      <c r="H20" s="1111"/>
      <c r="I20" s="1112" t="s">
        <v>433</v>
      </c>
      <c r="J20" s="1112"/>
      <c r="K20" s="1112"/>
      <c r="L20" s="1112"/>
      <c r="M20" s="1112"/>
      <c r="N20" s="1112"/>
      <c r="O20" s="1112"/>
      <c r="P20" s="1112"/>
      <c r="Q20" s="1112"/>
    </row>
    <row r="21" spans="1:17" ht="30" customHeight="1" x14ac:dyDescent="0.2">
      <c r="A21" s="502">
        <v>3</v>
      </c>
      <c r="B21" s="1111" t="s">
        <v>556</v>
      </c>
      <c r="C21" s="1111"/>
      <c r="D21" s="1111"/>
      <c r="E21" s="1111" t="s">
        <v>434</v>
      </c>
      <c r="F21" s="1111"/>
      <c r="G21" s="1111"/>
      <c r="H21" s="1111"/>
      <c r="I21" s="1112" t="s">
        <v>428</v>
      </c>
      <c r="J21" s="1112"/>
      <c r="K21" s="1112"/>
      <c r="L21" s="1112"/>
      <c r="M21" s="1112"/>
      <c r="N21" s="1112"/>
      <c r="O21" s="1112"/>
      <c r="P21" s="1112"/>
      <c r="Q21" s="1112"/>
    </row>
    <row r="22" spans="1:17" ht="30" customHeight="1" x14ac:dyDescent="0.2">
      <c r="A22" s="502"/>
      <c r="B22" s="1111"/>
      <c r="C22" s="1111"/>
      <c r="D22" s="1111"/>
      <c r="E22" s="1111" t="s">
        <v>435</v>
      </c>
      <c r="F22" s="1111"/>
      <c r="G22" s="1111"/>
      <c r="H22" s="1111"/>
      <c r="I22" s="1112" t="s">
        <v>436</v>
      </c>
      <c r="J22" s="1112"/>
      <c r="K22" s="1112"/>
      <c r="L22" s="1112"/>
      <c r="M22" s="1112"/>
      <c r="N22" s="1112"/>
      <c r="O22" s="1112"/>
      <c r="P22" s="1112"/>
      <c r="Q22" s="1112"/>
    </row>
    <row r="23" spans="1:17" ht="30" customHeight="1" x14ac:dyDescent="0.2">
      <c r="A23" s="502"/>
      <c r="B23" s="1111"/>
      <c r="C23" s="1111"/>
      <c r="D23" s="1111"/>
      <c r="E23" s="1111" t="s">
        <v>437</v>
      </c>
      <c r="F23" s="1111"/>
      <c r="G23" s="1111"/>
      <c r="H23" s="1111"/>
      <c r="I23" s="1112" t="s">
        <v>438</v>
      </c>
      <c r="J23" s="1112"/>
      <c r="K23" s="1112"/>
      <c r="L23" s="1112"/>
      <c r="M23" s="1112"/>
      <c r="N23" s="1112"/>
      <c r="O23" s="1112"/>
      <c r="P23" s="1112"/>
      <c r="Q23" s="1112"/>
    </row>
    <row r="24" spans="1:17" ht="30" customHeight="1" x14ac:dyDescent="0.2">
      <c r="A24" s="502"/>
      <c r="B24" s="1111"/>
      <c r="C24" s="1111"/>
      <c r="D24" s="1111"/>
      <c r="E24" s="1111" t="s">
        <v>439</v>
      </c>
      <c r="F24" s="1111"/>
      <c r="G24" s="1111"/>
      <c r="H24" s="1111"/>
      <c r="I24" s="1112" t="s">
        <v>428</v>
      </c>
      <c r="J24" s="1112"/>
      <c r="K24" s="1112"/>
      <c r="L24" s="1112"/>
      <c r="M24" s="1112"/>
      <c r="N24" s="1112"/>
      <c r="O24" s="1112"/>
      <c r="P24" s="1112"/>
      <c r="Q24" s="1112"/>
    </row>
    <row r="25" spans="1:17" ht="30" customHeight="1" x14ac:dyDescent="0.2">
      <c r="A25" s="502">
        <v>4</v>
      </c>
      <c r="B25" s="1111" t="s">
        <v>557</v>
      </c>
      <c r="C25" s="1111"/>
      <c r="D25" s="1111"/>
      <c r="E25" s="1111" t="s">
        <v>440</v>
      </c>
      <c r="F25" s="1111"/>
      <c r="G25" s="1111"/>
      <c r="H25" s="1111"/>
      <c r="I25" s="1112" t="s">
        <v>428</v>
      </c>
      <c r="J25" s="1112"/>
      <c r="K25" s="1112"/>
      <c r="L25" s="1112"/>
      <c r="M25" s="1112"/>
      <c r="N25" s="1112"/>
      <c r="O25" s="1112"/>
      <c r="P25" s="1112"/>
      <c r="Q25" s="1112"/>
    </row>
    <row r="26" spans="1:17" ht="45" customHeight="1" x14ac:dyDescent="0.2">
      <c r="A26" s="502"/>
      <c r="B26" s="1111"/>
      <c r="C26" s="1111"/>
      <c r="D26" s="1111"/>
      <c r="E26" s="1111" t="s">
        <v>441</v>
      </c>
      <c r="F26" s="1111"/>
      <c r="G26" s="1111"/>
      <c r="H26" s="1111"/>
      <c r="I26" s="1112" t="s">
        <v>428</v>
      </c>
      <c r="J26" s="1112"/>
      <c r="K26" s="1112"/>
      <c r="L26" s="1112"/>
      <c r="M26" s="1112"/>
      <c r="N26" s="1112"/>
      <c r="O26" s="1112"/>
      <c r="P26" s="1112"/>
      <c r="Q26" s="1112"/>
    </row>
    <row r="27" spans="1:17" ht="30" customHeight="1" x14ac:dyDescent="0.2">
      <c r="A27" s="502">
        <v>5</v>
      </c>
      <c r="B27" s="1111" t="s">
        <v>442</v>
      </c>
      <c r="C27" s="1111"/>
      <c r="D27" s="1111"/>
      <c r="E27" s="1111" t="s">
        <v>443</v>
      </c>
      <c r="F27" s="1111"/>
      <c r="G27" s="1111"/>
      <c r="H27" s="1111"/>
      <c r="I27" s="1112" t="s">
        <v>444</v>
      </c>
      <c r="J27" s="1112"/>
      <c r="K27" s="1112"/>
      <c r="L27" s="1112"/>
      <c r="M27" s="1112"/>
      <c r="N27" s="1112"/>
      <c r="O27" s="1112"/>
      <c r="P27" s="1112"/>
      <c r="Q27" s="1112"/>
    </row>
    <row r="28" spans="1:17" ht="30" customHeight="1" x14ac:dyDescent="0.2">
      <c r="A28" s="502">
        <v>6</v>
      </c>
      <c r="B28" s="1111" t="s">
        <v>445</v>
      </c>
      <c r="C28" s="1111"/>
      <c r="D28" s="1111"/>
      <c r="E28" s="1111" t="s">
        <v>446</v>
      </c>
      <c r="F28" s="1111"/>
      <c r="G28" s="1111"/>
      <c r="H28" s="1111"/>
      <c r="I28" s="1112" t="s">
        <v>447</v>
      </c>
      <c r="J28" s="1112"/>
      <c r="K28" s="1112"/>
      <c r="L28" s="1112"/>
      <c r="M28" s="1112"/>
      <c r="N28" s="1112"/>
      <c r="O28" s="1112"/>
      <c r="P28" s="1112"/>
      <c r="Q28" s="1112"/>
    </row>
    <row r="29" spans="1:17" ht="15" customHeight="1" x14ac:dyDescent="0.2">
      <c r="A29" s="502"/>
      <c r="B29" s="1111"/>
      <c r="C29" s="1111"/>
      <c r="D29" s="1111"/>
      <c r="E29" s="1111" t="s">
        <v>448</v>
      </c>
      <c r="F29" s="1111"/>
      <c r="G29" s="1111"/>
      <c r="H29" s="1111"/>
      <c r="I29" s="1112" t="s">
        <v>449</v>
      </c>
      <c r="J29" s="1112"/>
      <c r="K29" s="1112"/>
      <c r="L29" s="1112"/>
      <c r="M29" s="1112"/>
      <c r="N29" s="1112"/>
      <c r="O29" s="1112"/>
      <c r="P29" s="1112"/>
      <c r="Q29" s="1112"/>
    </row>
    <row r="30" spans="1:17" ht="30" customHeight="1" x14ac:dyDescent="0.2">
      <c r="A30" s="502">
        <v>7</v>
      </c>
      <c r="B30" s="1111" t="s">
        <v>450</v>
      </c>
      <c r="C30" s="1111"/>
      <c r="D30" s="1111"/>
      <c r="E30" s="1111" t="s">
        <v>451</v>
      </c>
      <c r="F30" s="1111"/>
      <c r="G30" s="1111"/>
      <c r="H30" s="1111"/>
      <c r="I30" s="1112" t="s">
        <v>452</v>
      </c>
      <c r="J30" s="1112"/>
      <c r="K30" s="1112"/>
      <c r="L30" s="1112"/>
      <c r="M30" s="1112"/>
      <c r="N30" s="1112"/>
      <c r="O30" s="1112"/>
      <c r="P30" s="1112"/>
      <c r="Q30" s="1112"/>
    </row>
    <row r="31" spans="1:17" ht="45" customHeight="1" x14ac:dyDescent="0.2">
      <c r="A31" s="502"/>
      <c r="B31" s="1111"/>
      <c r="C31" s="1111"/>
      <c r="D31" s="1111"/>
      <c r="E31" s="1111" t="s">
        <v>453</v>
      </c>
      <c r="F31" s="1111"/>
      <c r="G31" s="1111"/>
      <c r="H31" s="1111"/>
      <c r="I31" s="1112" t="s">
        <v>452</v>
      </c>
      <c r="J31" s="1112"/>
      <c r="K31" s="1112"/>
      <c r="L31" s="1112"/>
      <c r="M31" s="1112"/>
      <c r="N31" s="1112"/>
      <c r="O31" s="1112"/>
      <c r="P31" s="1112"/>
      <c r="Q31" s="1112"/>
    </row>
    <row r="32" spans="1:17" ht="45" customHeight="1" x14ac:dyDescent="0.2">
      <c r="A32" s="502"/>
      <c r="B32" s="1111"/>
      <c r="C32" s="1111"/>
      <c r="D32" s="1111"/>
      <c r="E32" s="1111" t="s">
        <v>454</v>
      </c>
      <c r="F32" s="1111"/>
      <c r="G32" s="1111"/>
      <c r="H32" s="1111"/>
      <c r="I32" s="1112" t="s">
        <v>428</v>
      </c>
      <c r="J32" s="1112"/>
      <c r="K32" s="1112"/>
      <c r="L32" s="1112"/>
      <c r="M32" s="1112"/>
      <c r="N32" s="1112"/>
      <c r="O32" s="1112"/>
      <c r="P32" s="1112"/>
      <c r="Q32" s="1112"/>
    </row>
    <row r="33" spans="1:17" ht="30" customHeight="1" x14ac:dyDescent="0.2">
      <c r="A33" s="502">
        <v>8</v>
      </c>
      <c r="B33" s="1111" t="s">
        <v>455</v>
      </c>
      <c r="C33" s="1111"/>
      <c r="D33" s="1111"/>
      <c r="E33" s="1111" t="s">
        <v>456</v>
      </c>
      <c r="F33" s="1111"/>
      <c r="G33" s="1111"/>
      <c r="H33" s="1111"/>
      <c r="I33" s="1112" t="s">
        <v>457</v>
      </c>
      <c r="J33" s="1112"/>
      <c r="K33" s="1112"/>
      <c r="L33" s="1112"/>
      <c r="M33" s="1112"/>
      <c r="N33" s="1112"/>
      <c r="O33" s="1112"/>
      <c r="P33" s="1112"/>
      <c r="Q33" s="1112"/>
    </row>
    <row r="34" spans="1:17" ht="30" customHeight="1" x14ac:dyDescent="0.2">
      <c r="A34" s="502">
        <v>9</v>
      </c>
      <c r="B34" s="1111" t="s">
        <v>458</v>
      </c>
      <c r="C34" s="1111"/>
      <c r="D34" s="1111"/>
      <c r="E34" s="1111" t="s">
        <v>459</v>
      </c>
      <c r="F34" s="1111"/>
      <c r="G34" s="1111"/>
      <c r="H34" s="1111"/>
      <c r="I34" s="1112" t="s">
        <v>428</v>
      </c>
      <c r="J34" s="1112"/>
      <c r="K34" s="1112"/>
      <c r="L34" s="1112"/>
      <c r="M34" s="1112"/>
      <c r="N34" s="1112"/>
      <c r="O34" s="1112"/>
      <c r="P34" s="1112"/>
      <c r="Q34" s="1112"/>
    </row>
    <row r="35" spans="1:17" ht="30" customHeight="1" x14ac:dyDescent="0.2">
      <c r="A35" s="502"/>
      <c r="B35" s="1111"/>
      <c r="C35" s="1111"/>
      <c r="D35" s="1111"/>
      <c r="E35" s="1111" t="s">
        <v>460</v>
      </c>
      <c r="F35" s="1111"/>
      <c r="G35" s="1111"/>
      <c r="H35" s="1111"/>
      <c r="I35" s="1112" t="s">
        <v>461</v>
      </c>
      <c r="J35" s="1112"/>
      <c r="K35" s="1112"/>
      <c r="L35" s="1112"/>
      <c r="M35" s="1112"/>
      <c r="N35" s="1112"/>
      <c r="O35" s="1112"/>
      <c r="P35" s="1112"/>
      <c r="Q35" s="1112"/>
    </row>
    <row r="36" spans="1:17" ht="45" customHeight="1" x14ac:dyDescent="0.2">
      <c r="A36" s="502">
        <v>10</v>
      </c>
      <c r="B36" s="1111" t="s">
        <v>462</v>
      </c>
      <c r="C36" s="1111"/>
      <c r="D36" s="1111"/>
      <c r="E36" s="1111" t="s">
        <v>463</v>
      </c>
      <c r="F36" s="1111"/>
      <c r="G36" s="1111"/>
      <c r="H36" s="1111"/>
      <c r="I36" s="1112" t="s">
        <v>428</v>
      </c>
      <c r="J36" s="1112"/>
      <c r="K36" s="1112"/>
      <c r="L36" s="1112"/>
      <c r="M36" s="1112"/>
      <c r="N36" s="1112"/>
      <c r="O36" s="1112"/>
      <c r="P36" s="1112"/>
      <c r="Q36" s="1112"/>
    </row>
    <row r="37" spans="1:17" ht="15" customHeight="1" x14ac:dyDescent="0.2">
      <c r="A37" s="502"/>
      <c r="B37" s="1111"/>
      <c r="C37" s="1111"/>
      <c r="D37" s="1111"/>
      <c r="E37" s="1111" t="s">
        <v>464</v>
      </c>
      <c r="F37" s="1111"/>
      <c r="G37" s="1111"/>
      <c r="H37" s="1111"/>
      <c r="I37" s="1112" t="s">
        <v>428</v>
      </c>
      <c r="J37" s="1112"/>
      <c r="K37" s="1112"/>
      <c r="L37" s="1112"/>
      <c r="M37" s="1112"/>
      <c r="N37" s="1112"/>
      <c r="O37" s="1112"/>
      <c r="P37" s="1112"/>
      <c r="Q37" s="1112"/>
    </row>
    <row r="38" spans="1:17" ht="45" customHeight="1" x14ac:dyDescent="0.2">
      <c r="A38" s="502">
        <v>11</v>
      </c>
      <c r="B38" s="1111" t="s">
        <v>465</v>
      </c>
      <c r="C38" s="1111"/>
      <c r="D38" s="1111"/>
      <c r="E38" s="1111" t="s">
        <v>466</v>
      </c>
      <c r="F38" s="1111"/>
      <c r="G38" s="1111"/>
      <c r="H38" s="1111"/>
      <c r="I38" s="1112" t="s">
        <v>467</v>
      </c>
      <c r="J38" s="1112"/>
      <c r="K38" s="1112"/>
      <c r="L38" s="1112"/>
      <c r="M38" s="1112"/>
      <c r="N38" s="1112"/>
      <c r="O38" s="1112"/>
      <c r="P38" s="1112"/>
      <c r="Q38" s="1112"/>
    </row>
    <row r="39" spans="1:17" ht="30" customHeight="1" x14ac:dyDescent="0.2">
      <c r="A39" s="502"/>
      <c r="B39" s="1111"/>
      <c r="C39" s="1111"/>
      <c r="D39" s="1111"/>
      <c r="E39" s="1111" t="s">
        <v>468</v>
      </c>
      <c r="F39" s="1111"/>
      <c r="G39" s="1111"/>
      <c r="H39" s="1111"/>
      <c r="I39" s="1112" t="s">
        <v>469</v>
      </c>
      <c r="J39" s="1112"/>
      <c r="K39" s="1112"/>
      <c r="L39" s="1112"/>
      <c r="M39" s="1112"/>
      <c r="N39" s="1112"/>
      <c r="O39" s="1112"/>
      <c r="P39" s="1112"/>
      <c r="Q39" s="1112"/>
    </row>
    <row r="40" spans="1:17" ht="30" customHeight="1" x14ac:dyDescent="0.2">
      <c r="A40" s="502">
        <v>12</v>
      </c>
      <c r="B40" s="1111" t="s">
        <v>470</v>
      </c>
      <c r="C40" s="1111"/>
      <c r="D40" s="1111"/>
      <c r="E40" s="1111" t="s">
        <v>471</v>
      </c>
      <c r="F40" s="1111"/>
      <c r="G40" s="1111"/>
      <c r="H40" s="1111"/>
      <c r="I40" s="1112" t="s">
        <v>428</v>
      </c>
      <c r="J40" s="1112"/>
      <c r="K40" s="1112"/>
      <c r="L40" s="1112"/>
      <c r="M40" s="1112"/>
      <c r="N40" s="1112"/>
      <c r="O40" s="1112"/>
      <c r="P40" s="1112"/>
      <c r="Q40" s="1112"/>
    </row>
    <row r="41" spans="1:17" ht="45" customHeight="1" x14ac:dyDescent="0.2">
      <c r="A41" s="502"/>
      <c r="B41" s="1111"/>
      <c r="C41" s="1111"/>
      <c r="D41" s="1111"/>
      <c r="E41" s="1111" t="s">
        <v>472</v>
      </c>
      <c r="F41" s="1111"/>
      <c r="G41" s="1111"/>
      <c r="H41" s="1111"/>
      <c r="I41" s="1112" t="s">
        <v>428</v>
      </c>
      <c r="J41" s="1112"/>
      <c r="K41" s="1112"/>
      <c r="L41" s="1112"/>
      <c r="M41" s="1112"/>
      <c r="N41" s="1112"/>
      <c r="O41" s="1112"/>
      <c r="P41" s="1112"/>
      <c r="Q41" s="1112"/>
    </row>
    <row r="42" spans="1:17" ht="30" customHeight="1" x14ac:dyDescent="0.2">
      <c r="A42" s="502"/>
      <c r="B42" s="1111"/>
      <c r="C42" s="1111"/>
      <c r="D42" s="1111"/>
      <c r="E42" s="1111" t="s">
        <v>473</v>
      </c>
      <c r="F42" s="1111"/>
      <c r="G42" s="1111"/>
      <c r="H42" s="1111"/>
      <c r="I42" s="1112" t="s">
        <v>452</v>
      </c>
      <c r="J42" s="1112"/>
      <c r="K42" s="1112"/>
      <c r="L42" s="1112"/>
      <c r="M42" s="1112"/>
      <c r="N42" s="1112"/>
      <c r="O42" s="1112"/>
      <c r="P42" s="1112"/>
      <c r="Q42" s="1112"/>
    </row>
    <row r="43" spans="1:17" ht="15" customHeight="1" x14ac:dyDescent="0.2">
      <c r="A43" s="502"/>
      <c r="B43" s="1111"/>
      <c r="C43" s="1111"/>
      <c r="D43" s="1111"/>
      <c r="E43" s="1111" t="s">
        <v>474</v>
      </c>
      <c r="F43" s="1111"/>
      <c r="G43" s="1111"/>
      <c r="H43" s="1111"/>
      <c r="I43" s="1112" t="s">
        <v>428</v>
      </c>
      <c r="J43" s="1112"/>
      <c r="K43" s="1112"/>
      <c r="L43" s="1112"/>
      <c r="M43" s="1112"/>
      <c r="N43" s="1112"/>
      <c r="O43" s="1112"/>
      <c r="P43" s="1112"/>
      <c r="Q43" s="1112"/>
    </row>
    <row r="44" spans="1:17" ht="30" customHeight="1" x14ac:dyDescent="0.2">
      <c r="A44" s="502">
        <v>13</v>
      </c>
      <c r="B44" s="1111" t="s">
        <v>475</v>
      </c>
      <c r="C44" s="1111"/>
      <c r="D44" s="1111"/>
      <c r="E44" s="1111" t="s">
        <v>476</v>
      </c>
      <c r="F44" s="1111"/>
      <c r="G44" s="1111"/>
      <c r="H44" s="1111"/>
      <c r="I44" s="1112" t="s">
        <v>428</v>
      </c>
      <c r="J44" s="1112"/>
      <c r="K44" s="1112"/>
      <c r="L44" s="1112"/>
      <c r="M44" s="1112"/>
      <c r="N44" s="1112"/>
      <c r="O44" s="1112"/>
      <c r="P44" s="1112"/>
      <c r="Q44" s="1112"/>
    </row>
    <row r="45" spans="1:17" ht="30" customHeight="1" x14ac:dyDescent="0.2">
      <c r="A45" s="502"/>
      <c r="B45" s="1111"/>
      <c r="C45" s="1111"/>
      <c r="D45" s="1111"/>
      <c r="E45" s="1111" t="s">
        <v>477</v>
      </c>
      <c r="F45" s="1111"/>
      <c r="G45" s="1111"/>
      <c r="H45" s="1111"/>
      <c r="I45" s="1112" t="s">
        <v>478</v>
      </c>
      <c r="J45" s="1112"/>
      <c r="K45" s="1112"/>
      <c r="L45" s="1112"/>
      <c r="M45" s="1112"/>
      <c r="N45" s="1112"/>
      <c r="O45" s="1112"/>
      <c r="P45" s="1112"/>
      <c r="Q45" s="1112"/>
    </row>
    <row r="46" spans="1:17" ht="30" customHeight="1" x14ac:dyDescent="0.2">
      <c r="A46" s="502"/>
      <c r="B46" s="1111"/>
      <c r="C46" s="1111"/>
      <c r="D46" s="1111"/>
      <c r="E46" s="1111" t="s">
        <v>479</v>
      </c>
      <c r="F46" s="1111"/>
      <c r="G46" s="1111"/>
      <c r="H46" s="1111"/>
      <c r="I46" s="1112" t="s">
        <v>428</v>
      </c>
      <c r="J46" s="1112"/>
      <c r="K46" s="1112"/>
      <c r="L46" s="1112"/>
      <c r="M46" s="1112"/>
      <c r="N46" s="1112"/>
      <c r="O46" s="1112"/>
      <c r="P46" s="1112"/>
      <c r="Q46" s="1112"/>
    </row>
    <row r="47" spans="1:17" ht="30" customHeight="1" x14ac:dyDescent="0.2">
      <c r="A47" s="502">
        <v>14</v>
      </c>
      <c r="B47" s="1111" t="s">
        <v>480</v>
      </c>
      <c r="C47" s="1111"/>
      <c r="D47" s="1111"/>
      <c r="E47" s="1111" t="s">
        <v>481</v>
      </c>
      <c r="F47" s="1111"/>
      <c r="G47" s="1111"/>
      <c r="H47" s="1111"/>
      <c r="I47" s="1112" t="s">
        <v>452</v>
      </c>
      <c r="J47" s="1112"/>
      <c r="K47" s="1112"/>
      <c r="L47" s="1112"/>
      <c r="M47" s="1112"/>
      <c r="N47" s="1112"/>
      <c r="O47" s="1112"/>
      <c r="P47" s="1112"/>
      <c r="Q47" s="1112"/>
    </row>
    <row r="48" spans="1:17" ht="15" customHeight="1" x14ac:dyDescent="0.2">
      <c r="A48" s="502"/>
      <c r="B48" s="1111"/>
      <c r="C48" s="1111"/>
      <c r="D48" s="1111"/>
      <c r="E48" s="1111" t="s">
        <v>482</v>
      </c>
      <c r="F48" s="1111"/>
      <c r="G48" s="1111"/>
      <c r="H48" s="1111"/>
      <c r="I48" s="1112" t="s">
        <v>428</v>
      </c>
      <c r="J48" s="1112"/>
      <c r="K48" s="1112"/>
      <c r="L48" s="1112"/>
      <c r="M48" s="1112"/>
      <c r="N48" s="1112"/>
      <c r="O48" s="1112"/>
      <c r="P48" s="1112"/>
      <c r="Q48" s="1112"/>
    </row>
    <row r="49" spans="1:17" ht="15" customHeight="1" x14ac:dyDescent="0.2">
      <c r="A49" s="502"/>
      <c r="B49" s="1111"/>
      <c r="C49" s="1111"/>
      <c r="D49" s="1111"/>
      <c r="E49" s="1111" t="s">
        <v>483</v>
      </c>
      <c r="F49" s="1111"/>
      <c r="G49" s="1111"/>
      <c r="H49" s="1111"/>
      <c r="I49" s="1112" t="s">
        <v>452</v>
      </c>
      <c r="J49" s="1112"/>
      <c r="K49" s="1112"/>
      <c r="L49" s="1112"/>
      <c r="M49" s="1112"/>
      <c r="N49" s="1112"/>
      <c r="O49" s="1112"/>
      <c r="P49" s="1112"/>
      <c r="Q49" s="1112"/>
    </row>
    <row r="50" spans="1:17" ht="45" customHeight="1" x14ac:dyDescent="0.2">
      <c r="A50" s="502">
        <v>15</v>
      </c>
      <c r="B50" s="1111" t="s">
        <v>484</v>
      </c>
      <c r="C50" s="1111"/>
      <c r="D50" s="1111"/>
      <c r="E50" s="1111" t="s">
        <v>485</v>
      </c>
      <c r="F50" s="1111"/>
      <c r="G50" s="1111"/>
      <c r="H50" s="1111"/>
      <c r="I50" s="1112" t="s">
        <v>428</v>
      </c>
      <c r="J50" s="1112"/>
      <c r="K50" s="1112"/>
      <c r="L50" s="1112"/>
      <c r="M50" s="1112"/>
      <c r="N50" s="1112"/>
      <c r="O50" s="1112"/>
      <c r="P50" s="1112"/>
      <c r="Q50" s="1112"/>
    </row>
    <row r="51" spans="1:17" ht="30" customHeight="1" x14ac:dyDescent="0.2">
      <c r="A51" s="502"/>
      <c r="B51" s="1111"/>
      <c r="C51" s="1111"/>
      <c r="D51" s="1111"/>
      <c r="E51" s="1111" t="s">
        <v>486</v>
      </c>
      <c r="F51" s="1111"/>
      <c r="G51" s="1111"/>
      <c r="H51" s="1111"/>
      <c r="I51" s="1112" t="s">
        <v>428</v>
      </c>
      <c r="J51" s="1112"/>
      <c r="K51" s="1112"/>
      <c r="L51" s="1112"/>
      <c r="M51" s="1112"/>
      <c r="N51" s="1112"/>
      <c r="O51" s="1112"/>
      <c r="P51" s="1112"/>
      <c r="Q51" s="1112"/>
    </row>
    <row r="52" spans="1:17" ht="30" customHeight="1" x14ac:dyDescent="0.2">
      <c r="A52" s="502"/>
      <c r="B52" s="1111"/>
      <c r="C52" s="1111"/>
      <c r="D52" s="1111"/>
      <c r="E52" s="1111" t="s">
        <v>487</v>
      </c>
      <c r="F52" s="1111"/>
      <c r="G52" s="1111"/>
      <c r="H52" s="1111"/>
      <c r="I52" s="1112" t="s">
        <v>452</v>
      </c>
      <c r="J52" s="1112"/>
      <c r="K52" s="1112"/>
      <c r="L52" s="1112"/>
      <c r="M52" s="1112"/>
      <c r="N52" s="1112"/>
      <c r="O52" s="1112"/>
      <c r="P52" s="1112"/>
      <c r="Q52" s="1112"/>
    </row>
    <row r="53" spans="1:17" ht="30" customHeight="1" x14ac:dyDescent="0.2">
      <c r="A53" s="502">
        <v>16</v>
      </c>
      <c r="B53" s="1111" t="s">
        <v>488</v>
      </c>
      <c r="C53" s="1111"/>
      <c r="D53" s="1111"/>
      <c r="E53" s="1111" t="s">
        <v>489</v>
      </c>
      <c r="F53" s="1111"/>
      <c r="G53" s="1111"/>
      <c r="H53" s="1111"/>
      <c r="I53" s="1112" t="s">
        <v>428</v>
      </c>
      <c r="J53" s="1112"/>
      <c r="K53" s="1112"/>
      <c r="L53" s="1112"/>
      <c r="M53" s="1112"/>
      <c r="N53" s="1112"/>
      <c r="O53" s="1112"/>
      <c r="P53" s="1112"/>
      <c r="Q53" s="1112"/>
    </row>
    <row r="54" spans="1:17" ht="30" customHeight="1" x14ac:dyDescent="0.2">
      <c r="A54" s="502"/>
      <c r="B54" s="1111"/>
      <c r="C54" s="1111"/>
      <c r="D54" s="1111"/>
      <c r="E54" s="1111" t="s">
        <v>490</v>
      </c>
      <c r="F54" s="1111"/>
      <c r="G54" s="1111"/>
      <c r="H54" s="1111"/>
      <c r="I54" s="1112" t="s">
        <v>491</v>
      </c>
      <c r="J54" s="1112"/>
      <c r="K54" s="1112"/>
      <c r="L54" s="1112"/>
      <c r="M54" s="1112"/>
      <c r="N54" s="1112"/>
      <c r="O54" s="1112"/>
      <c r="P54" s="1112"/>
      <c r="Q54" s="1112"/>
    </row>
    <row r="55" spans="1:17" ht="15" customHeight="1" x14ac:dyDescent="0.2">
      <c r="A55" s="502">
        <v>17</v>
      </c>
      <c r="B55" s="1111" t="s">
        <v>492</v>
      </c>
      <c r="C55" s="1111"/>
      <c r="D55" s="1111"/>
      <c r="E55" s="1111" t="s">
        <v>493</v>
      </c>
      <c r="F55" s="1111"/>
      <c r="G55" s="1111"/>
      <c r="H55" s="1111"/>
      <c r="I55" s="1112" t="s">
        <v>428</v>
      </c>
      <c r="J55" s="1112"/>
      <c r="K55" s="1112"/>
      <c r="L55" s="1112"/>
      <c r="M55" s="1112"/>
      <c r="N55" s="1112"/>
      <c r="O55" s="1112"/>
      <c r="P55" s="1112"/>
      <c r="Q55" s="1112"/>
    </row>
    <row r="56" spans="1:17" ht="30" customHeight="1" x14ac:dyDescent="0.2">
      <c r="A56" s="502"/>
      <c r="B56" s="1111"/>
      <c r="C56" s="1111"/>
      <c r="D56" s="1111"/>
      <c r="E56" s="1111" t="s">
        <v>494</v>
      </c>
      <c r="F56" s="1111"/>
      <c r="G56" s="1111"/>
      <c r="H56" s="1111"/>
      <c r="I56" s="1112" t="s">
        <v>495</v>
      </c>
      <c r="J56" s="1112"/>
      <c r="K56" s="1112"/>
      <c r="L56" s="1112"/>
      <c r="M56" s="1112"/>
      <c r="N56" s="1112"/>
      <c r="O56" s="1112"/>
      <c r="P56" s="1112"/>
      <c r="Q56" s="1112"/>
    </row>
    <row r="57" spans="1:17" ht="15" customHeight="1" x14ac:dyDescent="0.2">
      <c r="A57" s="502"/>
      <c r="B57" s="1111"/>
      <c r="C57" s="1111"/>
      <c r="D57" s="1111"/>
      <c r="E57" s="1111" t="s">
        <v>496</v>
      </c>
      <c r="F57" s="1111"/>
      <c r="G57" s="1111"/>
      <c r="H57" s="1111"/>
      <c r="I57" s="1112" t="s">
        <v>428</v>
      </c>
      <c r="J57" s="1112"/>
      <c r="K57" s="1112"/>
      <c r="L57" s="1112"/>
      <c r="M57" s="1112"/>
      <c r="N57" s="1112"/>
      <c r="O57" s="1112"/>
      <c r="P57" s="1112"/>
      <c r="Q57" s="1112"/>
    </row>
    <row r="58" spans="1:17" ht="30" customHeight="1" x14ac:dyDescent="0.2">
      <c r="A58" s="502">
        <v>18</v>
      </c>
      <c r="B58" s="1111" t="s">
        <v>497</v>
      </c>
      <c r="C58" s="1111"/>
      <c r="D58" s="1111"/>
      <c r="E58" s="1111" t="s">
        <v>498</v>
      </c>
      <c r="F58" s="1111"/>
      <c r="G58" s="1111"/>
      <c r="H58" s="1111"/>
      <c r="I58" s="1112" t="s">
        <v>478</v>
      </c>
      <c r="J58" s="1112"/>
      <c r="K58" s="1112"/>
      <c r="L58" s="1112"/>
      <c r="M58" s="1112"/>
      <c r="N58" s="1112"/>
      <c r="O58" s="1112"/>
      <c r="P58" s="1112"/>
      <c r="Q58" s="1112"/>
    </row>
    <row r="59" spans="1:17" ht="30" customHeight="1" x14ac:dyDescent="0.2">
      <c r="A59" s="502">
        <v>19</v>
      </c>
      <c r="B59" s="1111" t="s">
        <v>499</v>
      </c>
      <c r="C59" s="1111"/>
      <c r="D59" s="1111"/>
      <c r="E59" s="1111" t="s">
        <v>500</v>
      </c>
      <c r="F59" s="1111"/>
      <c r="G59" s="1111"/>
      <c r="H59" s="1111"/>
      <c r="I59" s="1112" t="s">
        <v>501</v>
      </c>
      <c r="J59" s="1112"/>
      <c r="K59" s="1112"/>
      <c r="L59" s="1112"/>
      <c r="M59" s="1112"/>
      <c r="N59" s="1112"/>
      <c r="O59" s="1112"/>
      <c r="P59" s="1112"/>
      <c r="Q59" s="1112"/>
    </row>
    <row r="60" spans="1:17" ht="30" customHeight="1" x14ac:dyDescent="0.2">
      <c r="A60" s="502">
        <v>20</v>
      </c>
      <c r="B60" s="1111" t="s">
        <v>502</v>
      </c>
      <c r="C60" s="1111"/>
      <c r="D60" s="1111"/>
      <c r="E60" s="1111" t="s">
        <v>503</v>
      </c>
      <c r="F60" s="1111"/>
      <c r="G60" s="1111"/>
      <c r="H60" s="1111"/>
      <c r="I60" s="1112" t="s">
        <v>504</v>
      </c>
      <c r="J60" s="1112"/>
      <c r="K60" s="1112"/>
      <c r="L60" s="1112"/>
      <c r="M60" s="1112"/>
      <c r="N60" s="1112"/>
      <c r="O60" s="1112"/>
      <c r="P60" s="1112"/>
      <c r="Q60" s="1112"/>
    </row>
    <row r="61" spans="1:17" ht="15" customHeight="1" x14ac:dyDescent="0.2">
      <c r="A61" s="502"/>
      <c r="B61" s="1111"/>
      <c r="C61" s="1111"/>
      <c r="D61" s="1111"/>
      <c r="E61" s="1111" t="s">
        <v>505</v>
      </c>
      <c r="F61" s="1111"/>
      <c r="G61" s="1111"/>
      <c r="H61" s="1111"/>
      <c r="I61" s="1112" t="s">
        <v>501</v>
      </c>
      <c r="J61" s="1112"/>
      <c r="K61" s="1112"/>
      <c r="L61" s="1112"/>
      <c r="M61" s="1112"/>
      <c r="N61" s="1112"/>
      <c r="O61" s="1112"/>
      <c r="P61" s="1112"/>
      <c r="Q61" s="1112"/>
    </row>
    <row r="62" spans="1:17" ht="15" customHeight="1" x14ac:dyDescent="0.2">
      <c r="A62" s="502"/>
      <c r="B62" s="1111"/>
      <c r="C62" s="1111"/>
      <c r="D62" s="1111"/>
      <c r="E62" s="1111" t="s">
        <v>506</v>
      </c>
      <c r="F62" s="1111"/>
      <c r="G62" s="1111"/>
      <c r="H62" s="1111"/>
      <c r="I62" s="1112" t="s">
        <v>507</v>
      </c>
      <c r="J62" s="1112"/>
      <c r="K62" s="1112"/>
      <c r="L62" s="1112"/>
      <c r="M62" s="1112"/>
      <c r="N62" s="1112"/>
      <c r="O62" s="1112"/>
      <c r="P62" s="1112"/>
      <c r="Q62" s="1112"/>
    </row>
    <row r="63" spans="1:17" ht="30" customHeight="1" x14ac:dyDescent="0.2">
      <c r="A63" s="502">
        <v>21</v>
      </c>
      <c r="B63" s="1111" t="s">
        <v>508</v>
      </c>
      <c r="C63" s="1111"/>
      <c r="D63" s="1111"/>
      <c r="E63" s="1111" t="s">
        <v>509</v>
      </c>
      <c r="F63" s="1111"/>
      <c r="G63" s="1111"/>
      <c r="H63" s="1111"/>
      <c r="I63" s="1112" t="s">
        <v>478</v>
      </c>
      <c r="J63" s="1112"/>
      <c r="K63" s="1112"/>
      <c r="L63" s="1112"/>
      <c r="M63" s="1112"/>
      <c r="N63" s="1112"/>
      <c r="O63" s="1112"/>
      <c r="P63" s="1112"/>
      <c r="Q63" s="1112"/>
    </row>
    <row r="64" spans="1:17" ht="30" customHeight="1" x14ac:dyDescent="0.2">
      <c r="A64" s="502">
        <v>22</v>
      </c>
      <c r="B64" s="1111" t="s">
        <v>510</v>
      </c>
      <c r="C64" s="1111"/>
      <c r="D64" s="1111"/>
      <c r="E64" s="1111" t="s">
        <v>511</v>
      </c>
      <c r="F64" s="1111"/>
      <c r="G64" s="1111"/>
      <c r="H64" s="1111"/>
      <c r="I64" s="1112" t="s">
        <v>512</v>
      </c>
      <c r="J64" s="1112"/>
      <c r="K64" s="1112"/>
      <c r="L64" s="1112"/>
      <c r="M64" s="1112"/>
      <c r="N64" s="1112"/>
      <c r="O64" s="1112"/>
      <c r="P64" s="1112"/>
      <c r="Q64" s="1112"/>
    </row>
    <row r="65" spans="1:17" ht="30" customHeight="1" x14ac:dyDescent="0.2">
      <c r="A65" s="502"/>
      <c r="B65" s="1111"/>
      <c r="C65" s="1111"/>
      <c r="D65" s="1111"/>
      <c r="E65" s="1111" t="s">
        <v>513</v>
      </c>
      <c r="F65" s="1111"/>
      <c r="G65" s="1111"/>
      <c r="H65" s="1111"/>
      <c r="I65" s="1112" t="s">
        <v>428</v>
      </c>
      <c r="J65" s="1112"/>
      <c r="K65" s="1112"/>
      <c r="L65" s="1112"/>
      <c r="M65" s="1112"/>
      <c r="N65" s="1112"/>
      <c r="O65" s="1112"/>
      <c r="P65" s="1112"/>
      <c r="Q65" s="1112"/>
    </row>
    <row r="66" spans="1:17" ht="15" customHeight="1" x14ac:dyDescent="0.2">
      <c r="A66" s="502">
        <v>23</v>
      </c>
      <c r="B66" s="1111" t="s">
        <v>514</v>
      </c>
      <c r="C66" s="1111"/>
      <c r="D66" s="1111"/>
      <c r="E66" s="1111" t="s">
        <v>515</v>
      </c>
      <c r="F66" s="1111"/>
      <c r="G66" s="1111"/>
      <c r="H66" s="1111"/>
      <c r="I66" s="1112" t="s">
        <v>516</v>
      </c>
      <c r="J66" s="1112"/>
      <c r="K66" s="1112"/>
      <c r="L66" s="1112"/>
      <c r="M66" s="1112"/>
      <c r="N66" s="1112"/>
      <c r="O66" s="1112"/>
      <c r="P66" s="1112"/>
      <c r="Q66" s="1112"/>
    </row>
    <row r="67" spans="1:17" ht="30" customHeight="1" x14ac:dyDescent="0.2">
      <c r="A67" s="502"/>
      <c r="B67" s="1111"/>
      <c r="C67" s="1111"/>
      <c r="D67" s="1111"/>
      <c r="E67" s="1111" t="s">
        <v>517</v>
      </c>
      <c r="F67" s="1111"/>
      <c r="G67" s="1111"/>
      <c r="H67" s="1111"/>
      <c r="I67" s="1112" t="s">
        <v>452</v>
      </c>
      <c r="J67" s="1112"/>
      <c r="K67" s="1112"/>
      <c r="L67" s="1112"/>
      <c r="M67" s="1112"/>
      <c r="N67" s="1112"/>
      <c r="O67" s="1112"/>
      <c r="P67" s="1112"/>
      <c r="Q67" s="1112"/>
    </row>
    <row r="68" spans="1:17" ht="30" customHeight="1" x14ac:dyDescent="0.2">
      <c r="A68" s="502">
        <v>24</v>
      </c>
      <c r="B68" s="1111" t="s">
        <v>518</v>
      </c>
      <c r="C68" s="1111"/>
      <c r="D68" s="1111"/>
      <c r="E68" s="1111" t="s">
        <v>519</v>
      </c>
      <c r="F68" s="1111"/>
      <c r="G68" s="1111"/>
      <c r="H68" s="1111"/>
      <c r="I68" s="1112" t="s">
        <v>520</v>
      </c>
      <c r="J68" s="1112"/>
      <c r="K68" s="1112"/>
      <c r="L68" s="1112"/>
      <c r="M68" s="1112"/>
      <c r="N68" s="1112"/>
      <c r="O68" s="1112"/>
      <c r="P68" s="1112"/>
      <c r="Q68" s="1112"/>
    </row>
    <row r="69" spans="1:17" ht="15" customHeight="1" x14ac:dyDescent="0.2">
      <c r="A69" s="503"/>
      <c r="B69" s="504"/>
      <c r="C69" s="505"/>
      <c r="D69" s="505"/>
      <c r="E69" s="504"/>
      <c r="F69" s="505"/>
      <c r="G69" s="505"/>
      <c r="H69" s="505"/>
      <c r="I69" s="506"/>
      <c r="J69" s="507"/>
      <c r="K69" s="507"/>
      <c r="L69" s="507"/>
      <c r="M69" s="507"/>
      <c r="N69" s="507"/>
      <c r="O69" s="507"/>
      <c r="P69" s="507"/>
      <c r="Q69" s="508"/>
    </row>
    <row r="70" spans="1:17" ht="15.75" customHeight="1" x14ac:dyDescent="0.2">
      <c r="A70" s="1119" t="s">
        <v>366</v>
      </c>
      <c r="B70" s="1117"/>
      <c r="C70" s="1117"/>
      <c r="D70" s="1117"/>
      <c r="E70" s="1117"/>
      <c r="F70" s="1117"/>
      <c r="G70" s="1117"/>
      <c r="H70" s="1117"/>
      <c r="I70" s="1117"/>
      <c r="J70" s="1117"/>
      <c r="K70" s="1117"/>
      <c r="L70" s="1117"/>
      <c r="M70" s="1117"/>
      <c r="N70" s="1117"/>
      <c r="O70" s="1117"/>
      <c r="P70" s="1117"/>
      <c r="Q70" s="1118"/>
    </row>
    <row r="71" spans="1:17" ht="15.75" customHeight="1" x14ac:dyDescent="0.2">
      <c r="A71" s="509"/>
      <c r="B71" s="1120"/>
      <c r="C71" s="1121"/>
      <c r="D71" s="1122"/>
      <c r="E71" s="1120"/>
      <c r="F71" s="1121"/>
      <c r="G71" s="1121"/>
      <c r="H71" s="1122"/>
      <c r="I71" s="1123"/>
      <c r="J71" s="1117"/>
      <c r="K71" s="1117"/>
      <c r="L71" s="1117"/>
      <c r="M71" s="1117"/>
      <c r="N71" s="1117"/>
      <c r="O71" s="1117"/>
      <c r="P71" s="1117"/>
      <c r="Q71" s="1118"/>
    </row>
    <row r="72" spans="1:17" ht="15.75" customHeight="1" x14ac:dyDescent="0.2"/>
    <row r="73" spans="1:17" ht="15.75" customHeight="1" x14ac:dyDescent="0.2"/>
    <row r="74" spans="1:17" ht="15.75" customHeight="1" x14ac:dyDescent="0.2">
      <c r="J74" s="485" t="s">
        <v>521</v>
      </c>
    </row>
    <row r="75" spans="1:17" ht="15.75" customHeight="1" x14ac:dyDescent="0.2">
      <c r="B75" s="485" t="s">
        <v>522</v>
      </c>
      <c r="J75" s="485" t="s">
        <v>523</v>
      </c>
    </row>
    <row r="76" spans="1:17" ht="15.75" customHeight="1" x14ac:dyDescent="0.2"/>
    <row r="77" spans="1:17" ht="15.75" customHeight="1" x14ac:dyDescent="0.2"/>
    <row r="78" spans="1:17" ht="15.75" customHeight="1" x14ac:dyDescent="0.2"/>
    <row r="79" spans="1:17" ht="15.75" customHeight="1" x14ac:dyDescent="0.2"/>
    <row r="80" spans="1:17" ht="15.75" customHeight="1" x14ac:dyDescent="0.2">
      <c r="B80" s="485" t="str">
        <f>D8</f>
        <v>Drs. Busyroni Majid, M.Si</v>
      </c>
      <c r="J80" s="485" t="str">
        <f>J8</f>
        <v>Drs.Suharto</v>
      </c>
    </row>
    <row r="81" spans="2:10" ht="15.75" customHeight="1" x14ac:dyDescent="0.2">
      <c r="B81" s="485" t="str">
        <f>"NIP. "&amp;D9</f>
        <v>NIP. 196909211995031001</v>
      </c>
      <c r="J81" s="485" t="str">
        <f>"NIP. "&amp;J9</f>
        <v>NIP. 196506211994031001</v>
      </c>
    </row>
    <row r="82" spans="2:10" ht="15.75" customHeight="1" x14ac:dyDescent="0.2"/>
  </sheetData>
  <mergeCells count="176">
    <mergeCell ref="B68:D68"/>
    <mergeCell ref="E68:H68"/>
    <mergeCell ref="I68:Q68"/>
    <mergeCell ref="A70:Q70"/>
    <mergeCell ref="B71:D71"/>
    <mergeCell ref="E71:H71"/>
    <mergeCell ref="I71:Q71"/>
    <mergeCell ref="B66:D66"/>
    <mergeCell ref="E66:H66"/>
    <mergeCell ref="I66:Q66"/>
    <mergeCell ref="B67:D67"/>
    <mergeCell ref="E67:H67"/>
    <mergeCell ref="I67:Q67"/>
    <mergeCell ref="B64:D64"/>
    <mergeCell ref="E64:H64"/>
    <mergeCell ref="I64:Q64"/>
    <mergeCell ref="B65:D65"/>
    <mergeCell ref="E65:H65"/>
    <mergeCell ref="I65:Q65"/>
    <mergeCell ref="B62:D62"/>
    <mergeCell ref="E62:H62"/>
    <mergeCell ref="I62:Q62"/>
    <mergeCell ref="B63:D63"/>
    <mergeCell ref="E63:H63"/>
    <mergeCell ref="I63:Q63"/>
    <mergeCell ref="B60:D60"/>
    <mergeCell ref="E60:H60"/>
    <mergeCell ref="I60:Q60"/>
    <mergeCell ref="B61:D61"/>
    <mergeCell ref="E61:H61"/>
    <mergeCell ref="I61:Q61"/>
    <mergeCell ref="B58:D58"/>
    <mergeCell ref="E58:H58"/>
    <mergeCell ref="I58:Q58"/>
    <mergeCell ref="B59:D59"/>
    <mergeCell ref="E59:H59"/>
    <mergeCell ref="I59:Q59"/>
    <mergeCell ref="B56:D56"/>
    <mergeCell ref="E56:H56"/>
    <mergeCell ref="I56:Q56"/>
    <mergeCell ref="B57:D57"/>
    <mergeCell ref="E57:H57"/>
    <mergeCell ref="I57:Q57"/>
    <mergeCell ref="B54:D54"/>
    <mergeCell ref="E54:H54"/>
    <mergeCell ref="I54:Q54"/>
    <mergeCell ref="B55:D55"/>
    <mergeCell ref="E55:H55"/>
    <mergeCell ref="I55:Q55"/>
    <mergeCell ref="B52:D52"/>
    <mergeCell ref="E52:H52"/>
    <mergeCell ref="I52:Q52"/>
    <mergeCell ref="B53:D53"/>
    <mergeCell ref="E53:H53"/>
    <mergeCell ref="I53:Q53"/>
    <mergeCell ref="B50:D50"/>
    <mergeCell ref="E50:H50"/>
    <mergeCell ref="I50:Q50"/>
    <mergeCell ref="B51:D51"/>
    <mergeCell ref="E51:H51"/>
    <mergeCell ref="I51:Q51"/>
    <mergeCell ref="B48:D48"/>
    <mergeCell ref="E48:H48"/>
    <mergeCell ref="I48:Q48"/>
    <mergeCell ref="B49:D49"/>
    <mergeCell ref="E49:H49"/>
    <mergeCell ref="I49:Q49"/>
    <mergeCell ref="B46:D46"/>
    <mergeCell ref="E46:H46"/>
    <mergeCell ref="I46:Q46"/>
    <mergeCell ref="B47:D47"/>
    <mergeCell ref="E47:H47"/>
    <mergeCell ref="I47:Q47"/>
    <mergeCell ref="B44:D44"/>
    <mergeCell ref="E44:H44"/>
    <mergeCell ref="I44:Q44"/>
    <mergeCell ref="B45:D45"/>
    <mergeCell ref="E45:H45"/>
    <mergeCell ref="I45:Q45"/>
    <mergeCell ref="B42:D42"/>
    <mergeCell ref="E42:H42"/>
    <mergeCell ref="I42:Q42"/>
    <mergeCell ref="B43:D43"/>
    <mergeCell ref="E43:H43"/>
    <mergeCell ref="I43:Q43"/>
    <mergeCell ref="B40:D40"/>
    <mergeCell ref="E40:H40"/>
    <mergeCell ref="I40:Q40"/>
    <mergeCell ref="B41:D41"/>
    <mergeCell ref="E41:H41"/>
    <mergeCell ref="I41:Q41"/>
    <mergeCell ref="B38:D38"/>
    <mergeCell ref="E38:H38"/>
    <mergeCell ref="I38:Q38"/>
    <mergeCell ref="B39:D39"/>
    <mergeCell ref="E39:H39"/>
    <mergeCell ref="I39:Q39"/>
    <mergeCell ref="B36:D36"/>
    <mergeCell ref="E36:H36"/>
    <mergeCell ref="I36:Q36"/>
    <mergeCell ref="B37:D37"/>
    <mergeCell ref="E37:H37"/>
    <mergeCell ref="I37:Q37"/>
    <mergeCell ref="B34:D34"/>
    <mergeCell ref="E34:H34"/>
    <mergeCell ref="I34:Q34"/>
    <mergeCell ref="B35:D35"/>
    <mergeCell ref="E35:H35"/>
    <mergeCell ref="I35:Q35"/>
    <mergeCell ref="B32:D32"/>
    <mergeCell ref="E32:H32"/>
    <mergeCell ref="I32:Q32"/>
    <mergeCell ref="B33:D33"/>
    <mergeCell ref="E33:H33"/>
    <mergeCell ref="I33:Q33"/>
    <mergeCell ref="B30:D30"/>
    <mergeCell ref="E30:H30"/>
    <mergeCell ref="I30:Q30"/>
    <mergeCell ref="B31:D31"/>
    <mergeCell ref="E31:H31"/>
    <mergeCell ref="I31:Q31"/>
    <mergeCell ref="B28:D28"/>
    <mergeCell ref="E28:H28"/>
    <mergeCell ref="I28:Q28"/>
    <mergeCell ref="B29:D29"/>
    <mergeCell ref="E29:H29"/>
    <mergeCell ref="I29:Q29"/>
    <mergeCell ref="B26:D26"/>
    <mergeCell ref="E26:H26"/>
    <mergeCell ref="I26:Q26"/>
    <mergeCell ref="B27:D27"/>
    <mergeCell ref="E27:H27"/>
    <mergeCell ref="I27:Q27"/>
    <mergeCell ref="B24:D24"/>
    <mergeCell ref="E24:H24"/>
    <mergeCell ref="I24:Q24"/>
    <mergeCell ref="B25:D25"/>
    <mergeCell ref="E25:H25"/>
    <mergeCell ref="I25:Q25"/>
    <mergeCell ref="B22:D22"/>
    <mergeCell ref="E22:H22"/>
    <mergeCell ref="I22:Q22"/>
    <mergeCell ref="B23:D23"/>
    <mergeCell ref="E23:H23"/>
    <mergeCell ref="I23:Q23"/>
    <mergeCell ref="B20:D20"/>
    <mergeCell ref="E20:H20"/>
    <mergeCell ref="I20:Q20"/>
    <mergeCell ref="B21:D21"/>
    <mergeCell ref="E21:H21"/>
    <mergeCell ref="I21:Q21"/>
    <mergeCell ref="B18:D18"/>
    <mergeCell ref="E18:H18"/>
    <mergeCell ref="I18:Q18"/>
    <mergeCell ref="B19:D19"/>
    <mergeCell ref="E19:H19"/>
    <mergeCell ref="I19:Q19"/>
    <mergeCell ref="B17:D17"/>
    <mergeCell ref="E17:H17"/>
    <mergeCell ref="I17:Q17"/>
    <mergeCell ref="B13:D13"/>
    <mergeCell ref="E13:H13"/>
    <mergeCell ref="I13:Q13"/>
    <mergeCell ref="B14:D14"/>
    <mergeCell ref="E14:H14"/>
    <mergeCell ref="I14:Q14"/>
    <mergeCell ref="B1:Q1"/>
    <mergeCell ref="A2:Q2"/>
    <mergeCell ref="D5:G5"/>
    <mergeCell ref="A7:G7"/>
    <mergeCell ref="H7:Q7"/>
    <mergeCell ref="D12:G12"/>
    <mergeCell ref="A15:Q15"/>
    <mergeCell ref="B16:D16"/>
    <mergeCell ref="E16:H16"/>
    <mergeCell ref="I16:Q16"/>
  </mergeCells>
  <pageMargins left="0.51181102362204722" right="0.51181102362204722" top="0.74803149606299213" bottom="0.51181102362204722" header="0" footer="0"/>
  <pageSetup paperSize="9" scale="89" fitToHeight="0" orientation="landscape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</sheetPr>
  <dimension ref="B1:AC92"/>
  <sheetViews>
    <sheetView showGridLines="0" view="pageBreakPreview" zoomScaleNormal="100" zoomScaleSheetLayoutView="100" workbookViewId="0"/>
  </sheetViews>
  <sheetFormatPr defaultColWidth="5" defaultRowHeight="15" x14ac:dyDescent="0.25"/>
  <cols>
    <col min="1" max="1" width="9.140625" style="65" customWidth="1"/>
    <col min="2" max="2" width="6.42578125" style="65" customWidth="1"/>
    <col min="3" max="3" width="3.140625" style="65" customWidth="1"/>
    <col min="4" max="4" width="11.7109375" style="65" customWidth="1"/>
    <col min="5" max="5" width="4.7109375" style="65" customWidth="1"/>
    <col min="6" max="6" width="9.140625" style="65" customWidth="1"/>
    <col min="7" max="7" width="6" style="65" customWidth="1"/>
    <col min="8" max="18" width="2.7109375" style="65" customWidth="1"/>
    <col min="19" max="19" width="1.7109375" style="65" customWidth="1"/>
    <col min="20" max="20" width="7.5703125" style="65" customWidth="1"/>
    <col min="21" max="21" width="7.42578125" style="65" hidden="1" customWidth="1"/>
    <col min="22" max="22" width="7" style="66" hidden="1" customWidth="1"/>
    <col min="23" max="26" width="5" style="65" hidden="1" customWidth="1"/>
    <col min="27" max="33" width="0" style="65" hidden="1" customWidth="1"/>
    <col min="34" max="16384" width="5" style="65"/>
  </cols>
  <sheetData>
    <row r="1" spans="2:29" ht="0.95" customHeight="1" x14ac:dyDescent="0.25"/>
    <row r="2" spans="2:29" ht="0.95" customHeight="1" x14ac:dyDescent="0.25"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</row>
    <row r="3" spans="2:29" ht="7.5" hidden="1" customHeight="1" x14ac:dyDescent="0.25">
      <c r="B3" s="1144" t="s">
        <v>2</v>
      </c>
      <c r="C3" s="1145"/>
      <c r="D3" s="1146"/>
      <c r="E3" s="68" t="str">
        <f>'DATA SKP'!E5</f>
        <v>Sirajudin, S.Pd.</v>
      </c>
      <c r="F3" s="68"/>
      <c r="G3" s="68"/>
      <c r="H3" s="68"/>
      <c r="I3" s="68"/>
      <c r="J3" s="68"/>
      <c r="K3" s="68"/>
      <c r="L3" s="67"/>
      <c r="M3" s="67"/>
      <c r="N3" s="67"/>
      <c r="O3" s="67"/>
      <c r="P3" s="67"/>
      <c r="Q3" s="67"/>
      <c r="R3" s="67"/>
      <c r="S3" s="67"/>
      <c r="T3" s="67"/>
    </row>
    <row r="4" spans="2:29" ht="7.5" hidden="1" customHeight="1" x14ac:dyDescent="0.25">
      <c r="B4" s="68" t="s">
        <v>3</v>
      </c>
      <c r="C4" s="68"/>
      <c r="D4" s="68"/>
      <c r="E4" s="68" t="str">
        <f>'DATA SKP'!E6</f>
        <v>19730115 200710 1 001</v>
      </c>
      <c r="F4" s="68"/>
      <c r="G4" s="68"/>
      <c r="H4" s="68"/>
      <c r="I4" s="68"/>
      <c r="J4" s="68"/>
      <c r="K4" s="68"/>
      <c r="L4" s="67"/>
      <c r="M4" s="67"/>
      <c r="N4" s="67"/>
      <c r="O4" s="67"/>
      <c r="P4" s="67"/>
      <c r="Q4" s="67"/>
      <c r="R4" s="67"/>
      <c r="S4" s="67"/>
      <c r="T4" s="67"/>
    </row>
    <row r="5" spans="2:29" ht="7.5" hidden="1" customHeight="1" x14ac:dyDescent="0.25">
      <c r="B5" s="68" t="s">
        <v>198</v>
      </c>
      <c r="C5" s="68"/>
      <c r="D5" s="68"/>
      <c r="E5" s="68" t="str">
        <f>'DATA SKP'!E7</f>
        <v>Penata Muda, Gol. III/a</v>
      </c>
      <c r="F5" s="68"/>
      <c r="G5" s="68"/>
      <c r="H5" s="68"/>
      <c r="I5" s="68"/>
      <c r="J5" s="68"/>
      <c r="K5" s="68"/>
      <c r="L5" s="67"/>
      <c r="M5" s="67"/>
      <c r="N5" s="67"/>
      <c r="O5" s="67"/>
      <c r="P5" s="67"/>
      <c r="Q5" s="67"/>
      <c r="R5" s="67"/>
      <c r="S5" s="67"/>
      <c r="T5" s="67"/>
    </row>
    <row r="6" spans="2:29" ht="15" customHeight="1" x14ac:dyDescent="0.25">
      <c r="B6" s="67"/>
      <c r="C6" s="67"/>
      <c r="D6" s="67"/>
      <c r="E6" s="69">
        <f>'DATA SKP'!B7</f>
        <v>10.5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</row>
    <row r="7" spans="2:29" ht="11.25" customHeight="1" x14ac:dyDescent="0.25"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</row>
    <row r="8" spans="2:29" ht="22.5" x14ac:dyDescent="0.3">
      <c r="B8" s="1124" t="s">
        <v>199</v>
      </c>
      <c r="C8" s="1124"/>
      <c r="D8" s="1124"/>
      <c r="E8" s="1124"/>
      <c r="F8" s="1124"/>
      <c r="G8" s="1124"/>
      <c r="H8" s="1124"/>
      <c r="I8" s="1124"/>
      <c r="J8" s="1124"/>
      <c r="K8" s="1124"/>
      <c r="L8" s="1124"/>
      <c r="M8" s="1124"/>
      <c r="N8" s="1124"/>
      <c r="O8" s="1124"/>
      <c r="P8" s="1124"/>
      <c r="Q8" s="1124"/>
      <c r="R8" s="1124"/>
      <c r="S8" s="1124"/>
      <c r="T8" s="1124"/>
    </row>
    <row r="9" spans="2:29" ht="18" customHeight="1" x14ac:dyDescent="0.25">
      <c r="B9" s="1125" t="s">
        <v>200</v>
      </c>
      <c r="C9" s="1125"/>
      <c r="D9" s="1125"/>
      <c r="E9" s="1125"/>
      <c r="F9" s="1125"/>
      <c r="G9" s="1125"/>
      <c r="H9" s="1125"/>
      <c r="I9" s="1125"/>
      <c r="J9" s="1125"/>
      <c r="K9" s="1125"/>
      <c r="L9" s="1125"/>
      <c r="M9" s="1125"/>
      <c r="N9" s="1125"/>
      <c r="O9" s="1125"/>
      <c r="P9" s="1125"/>
      <c r="Q9" s="1125"/>
      <c r="R9" s="1125"/>
      <c r="S9" s="1125"/>
      <c r="T9" s="1125"/>
    </row>
    <row r="10" spans="2:29" ht="16.5" customHeight="1" x14ac:dyDescent="0.25"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</row>
    <row r="11" spans="2:29" ht="28.5" customHeight="1" x14ac:dyDescent="0.25">
      <c r="B11" s="71" t="s">
        <v>201</v>
      </c>
      <c r="C11" s="1126" t="s">
        <v>202</v>
      </c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8"/>
      <c r="T11" s="71" t="s">
        <v>107</v>
      </c>
    </row>
    <row r="12" spans="2:29" ht="22.5" customHeight="1" x14ac:dyDescent="0.25">
      <c r="B12" s="72" t="s">
        <v>114</v>
      </c>
      <c r="C12" s="73" t="s">
        <v>15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5"/>
      <c r="T12" s="76"/>
      <c r="V12" s="77" t="str">
        <f>'DATA SKP'!G8</f>
        <v>Guru</v>
      </c>
      <c r="AB12" s="65">
        <v>12</v>
      </c>
      <c r="AC12" s="78" t="s">
        <v>203</v>
      </c>
    </row>
    <row r="13" spans="2:29" ht="39" customHeight="1" x14ac:dyDescent="0.25">
      <c r="B13" s="79" t="s">
        <v>112</v>
      </c>
      <c r="C13" s="1129" t="s">
        <v>204</v>
      </c>
      <c r="D13" s="1130"/>
      <c r="E13" s="1130"/>
      <c r="F13" s="1130"/>
      <c r="G13" s="1130"/>
      <c r="H13" s="1130"/>
      <c r="I13" s="1130"/>
      <c r="J13" s="1130"/>
      <c r="K13" s="1130"/>
      <c r="L13" s="1130"/>
      <c r="M13" s="1130"/>
      <c r="N13" s="1130"/>
      <c r="O13" s="1130"/>
      <c r="P13" s="1130"/>
      <c r="Q13" s="1130"/>
      <c r="R13" s="1130"/>
      <c r="S13" s="1131"/>
      <c r="T13" s="80">
        <f>IF(V12=AC13,E6*0.25,IF(V12=AC14,E6*0.5,IF(V12=AC15,E6*0.5,IF(V12=AC16,E6*0.5,IF(V12=AC17,E6*0.5,IF(V12=AC18,E6*0.5,IF(V12=AC19,E6*0.5,E6)))))))</f>
        <v>10.5</v>
      </c>
      <c r="U13" s="477">
        <f>T13-$T$23</f>
        <v>9.9749999999999996</v>
      </c>
      <c r="AB13" s="65">
        <v>13</v>
      </c>
      <c r="AC13" s="78" t="s">
        <v>205</v>
      </c>
    </row>
    <row r="14" spans="2:29" ht="38.1" customHeight="1" x14ac:dyDescent="0.25">
      <c r="B14" s="79" t="s">
        <v>119</v>
      </c>
      <c r="C14" s="1129" t="s">
        <v>206</v>
      </c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1"/>
      <c r="T14" s="81">
        <f>T13</f>
        <v>10.5</v>
      </c>
      <c r="U14" s="477">
        <f>T14-$T$23</f>
        <v>9.9749999999999996</v>
      </c>
      <c r="AB14" s="65">
        <v>14</v>
      </c>
      <c r="AC14" s="78" t="s">
        <v>328</v>
      </c>
    </row>
    <row r="15" spans="2:29" ht="15.95" customHeight="1" x14ac:dyDescent="0.25">
      <c r="B15" s="82" t="s">
        <v>121</v>
      </c>
      <c r="C15" s="83" t="s">
        <v>207</v>
      </c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5"/>
      <c r="T15" s="86" t="str">
        <f>IF(V12=AC13,E6*0.75,"-")</f>
        <v>-</v>
      </c>
      <c r="V15" s="87" t="e">
        <f t="shared" ref="V15:V21" si="0">$T$13+T15</f>
        <v>#VALUE!</v>
      </c>
      <c r="AB15" s="65">
        <v>15</v>
      </c>
      <c r="AC15" s="78" t="s">
        <v>208</v>
      </c>
    </row>
    <row r="16" spans="2:29" ht="15.95" customHeight="1" x14ac:dyDescent="0.25">
      <c r="B16" s="82" t="s">
        <v>123</v>
      </c>
      <c r="C16" s="83" t="s">
        <v>209</v>
      </c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5"/>
      <c r="T16" s="86" t="str">
        <f>IF(V12=AC14,E6*0.5,"-")</f>
        <v>-</v>
      </c>
      <c r="V16" s="87" t="e">
        <f t="shared" si="0"/>
        <v>#VALUE!</v>
      </c>
      <c r="AB16" s="65">
        <v>16</v>
      </c>
      <c r="AC16" s="78" t="s">
        <v>210</v>
      </c>
    </row>
    <row r="17" spans="2:29" ht="15.95" customHeight="1" x14ac:dyDescent="0.25">
      <c r="B17" s="82" t="s">
        <v>125</v>
      </c>
      <c r="C17" s="83" t="s">
        <v>211</v>
      </c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5"/>
      <c r="T17" s="86" t="str">
        <f>IF(V12=AC15,E6*0.5,"-")</f>
        <v>-</v>
      </c>
      <c r="V17" s="87" t="e">
        <f t="shared" si="0"/>
        <v>#VALUE!</v>
      </c>
      <c r="AB17" s="65">
        <v>17</v>
      </c>
      <c r="AC17" s="78" t="s">
        <v>212</v>
      </c>
    </row>
    <row r="18" spans="2:29" ht="15.95" customHeight="1" x14ac:dyDescent="0.25">
      <c r="B18" s="82" t="s">
        <v>127</v>
      </c>
      <c r="C18" s="83" t="s">
        <v>213</v>
      </c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5"/>
      <c r="T18" s="86" t="str">
        <f>IF(V12=AC16,E6*0.5,"-")</f>
        <v>-</v>
      </c>
      <c r="V18" s="87" t="e">
        <f t="shared" si="0"/>
        <v>#VALUE!</v>
      </c>
      <c r="AB18" s="65">
        <v>18</v>
      </c>
      <c r="AC18" s="78" t="s">
        <v>214</v>
      </c>
    </row>
    <row r="19" spans="2:29" ht="15.95" customHeight="1" x14ac:dyDescent="0.25">
      <c r="B19" s="88" t="s">
        <v>129</v>
      </c>
      <c r="C19" s="84" t="s">
        <v>215</v>
      </c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5"/>
      <c r="T19" s="86" t="str">
        <f>IF(V12=AC17,E6*0.5,"-")</f>
        <v>-</v>
      </c>
      <c r="V19" s="87" t="e">
        <f t="shared" si="0"/>
        <v>#VALUE!</v>
      </c>
      <c r="AB19" s="65">
        <v>19</v>
      </c>
      <c r="AC19" s="78" t="s">
        <v>216</v>
      </c>
    </row>
    <row r="20" spans="2:29" ht="15.95" customHeight="1" x14ac:dyDescent="0.25">
      <c r="B20" s="88" t="s">
        <v>130</v>
      </c>
      <c r="C20" s="84" t="s">
        <v>217</v>
      </c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5"/>
      <c r="T20" s="86" t="str">
        <f>IF(V12=AC18,E6*0.5,"-")</f>
        <v>-</v>
      </c>
      <c r="V20" s="87" t="e">
        <f t="shared" si="0"/>
        <v>#VALUE!</v>
      </c>
      <c r="AC20" s="78"/>
    </row>
    <row r="21" spans="2:29" ht="15.95" customHeight="1" x14ac:dyDescent="0.25">
      <c r="B21" s="88" t="s">
        <v>131</v>
      </c>
      <c r="C21" s="84" t="s">
        <v>218</v>
      </c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5"/>
      <c r="T21" s="86" t="str">
        <f>IF(V12=AC19,E6*0.5,"-")</f>
        <v>-</v>
      </c>
      <c r="V21" s="87" t="e">
        <f t="shared" si="0"/>
        <v>#VALUE!</v>
      </c>
      <c r="AC21" s="78"/>
    </row>
    <row r="22" spans="2:29" ht="27.95" customHeight="1" x14ac:dyDescent="0.25">
      <c r="B22" s="89" t="s">
        <v>133</v>
      </c>
      <c r="C22" s="1030" t="s">
        <v>219</v>
      </c>
      <c r="D22" s="1031"/>
      <c r="E22" s="1031"/>
      <c r="F22" s="1031"/>
      <c r="G22" s="1031"/>
      <c r="H22" s="1031"/>
      <c r="I22" s="1031"/>
      <c r="J22" s="1031"/>
      <c r="K22" s="1031"/>
      <c r="L22" s="1031"/>
      <c r="M22" s="1031"/>
      <c r="N22" s="1031"/>
      <c r="O22" s="1031"/>
      <c r="P22" s="1031"/>
      <c r="Q22" s="1031"/>
      <c r="R22" s="1031"/>
      <c r="S22" s="1032"/>
      <c r="T22" s="90">
        <f>T23</f>
        <v>0.52500000000000002</v>
      </c>
      <c r="AB22" s="65">
        <v>19</v>
      </c>
      <c r="AC22" s="78" t="s">
        <v>220</v>
      </c>
    </row>
    <row r="23" spans="2:29" ht="15.95" customHeight="1" x14ac:dyDescent="0.25">
      <c r="B23" s="91" t="s">
        <v>134</v>
      </c>
      <c r="C23" s="92" t="s">
        <v>221</v>
      </c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4"/>
      <c r="T23" s="90">
        <f>E6*0.05</f>
        <v>0.52500000000000002</v>
      </c>
      <c r="U23" s="476"/>
    </row>
    <row r="24" spans="2:29" ht="15.95" customHeight="1" x14ac:dyDescent="0.25">
      <c r="B24" s="91" t="s">
        <v>115</v>
      </c>
      <c r="C24" s="92" t="s">
        <v>222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4"/>
      <c r="T24" s="95">
        <f>E6*0.02</f>
        <v>0.21</v>
      </c>
    </row>
    <row r="25" spans="2:29" ht="15.95" customHeight="1" x14ac:dyDescent="0.25">
      <c r="B25" s="91" t="s">
        <v>138</v>
      </c>
      <c r="C25" s="92" t="s">
        <v>223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4"/>
      <c r="T25" s="95">
        <f>T24</f>
        <v>0.21</v>
      </c>
    </row>
    <row r="26" spans="2:29" ht="15.95" customHeight="1" x14ac:dyDescent="0.25">
      <c r="B26" s="96" t="s">
        <v>139</v>
      </c>
      <c r="C26" s="97" t="s">
        <v>224</v>
      </c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4"/>
      <c r="T26" s="90">
        <f>T23</f>
        <v>0.52500000000000002</v>
      </c>
    </row>
    <row r="27" spans="2:29" ht="15.95" customHeight="1" x14ac:dyDescent="0.25">
      <c r="B27" s="89" t="s">
        <v>140</v>
      </c>
      <c r="C27" s="97" t="s">
        <v>225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4"/>
      <c r="T27" s="90">
        <f>T23</f>
        <v>0.52500000000000002</v>
      </c>
    </row>
    <row r="28" spans="2:29" ht="15.95" customHeight="1" x14ac:dyDescent="0.25">
      <c r="B28" s="89" t="s">
        <v>141</v>
      </c>
      <c r="C28" s="97" t="s">
        <v>226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4"/>
      <c r="T28" s="95">
        <f>T25</f>
        <v>0.21</v>
      </c>
    </row>
    <row r="29" spans="2:29" ht="27.95" customHeight="1" x14ac:dyDescent="0.25">
      <c r="B29" s="89" t="s">
        <v>142</v>
      </c>
      <c r="C29" s="1030" t="s">
        <v>227</v>
      </c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1031"/>
      <c r="O29" s="1031"/>
      <c r="P29" s="1031"/>
      <c r="Q29" s="1031"/>
      <c r="R29" s="1031"/>
      <c r="S29" s="1032"/>
      <c r="T29" s="90">
        <f>T26</f>
        <v>0.52500000000000002</v>
      </c>
    </row>
    <row r="30" spans="2:29" ht="15.95" customHeight="1" x14ac:dyDescent="0.25">
      <c r="B30" s="98" t="s">
        <v>143</v>
      </c>
      <c r="C30" s="99" t="s">
        <v>228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1"/>
      <c r="T30" s="102">
        <v>15</v>
      </c>
    </row>
    <row r="31" spans="2:29" ht="15.95" customHeight="1" x14ac:dyDescent="0.25">
      <c r="B31" s="98" t="s">
        <v>144</v>
      </c>
      <c r="C31" s="99" t="s">
        <v>229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1"/>
      <c r="T31" s="102">
        <v>9</v>
      </c>
    </row>
    <row r="32" spans="2:29" ht="15.95" customHeight="1" x14ac:dyDescent="0.25">
      <c r="B32" s="98" t="s">
        <v>145</v>
      </c>
      <c r="C32" s="99" t="s">
        <v>230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1"/>
      <c r="T32" s="102">
        <v>6</v>
      </c>
    </row>
    <row r="33" spans="2:20" ht="15.95" customHeight="1" x14ac:dyDescent="0.25">
      <c r="B33" s="98" t="s">
        <v>146</v>
      </c>
      <c r="C33" s="99" t="s">
        <v>231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1"/>
      <c r="T33" s="102">
        <v>3</v>
      </c>
    </row>
    <row r="34" spans="2:20" ht="15.95" customHeight="1" x14ac:dyDescent="0.25">
      <c r="B34" s="98" t="s">
        <v>147</v>
      </c>
      <c r="C34" s="99" t="s">
        <v>232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1"/>
      <c r="T34" s="102">
        <v>2</v>
      </c>
    </row>
    <row r="35" spans="2:20" ht="15.95" customHeight="1" x14ac:dyDescent="0.25">
      <c r="B35" s="98" t="s">
        <v>148</v>
      </c>
      <c r="C35" s="99" t="s">
        <v>233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1"/>
      <c r="T35" s="102">
        <v>1</v>
      </c>
    </row>
    <row r="36" spans="2:20" ht="27.95" customHeight="1" x14ac:dyDescent="0.25">
      <c r="B36" s="98" t="s">
        <v>149</v>
      </c>
      <c r="C36" s="1135" t="s">
        <v>234</v>
      </c>
      <c r="D36" s="1136"/>
      <c r="E36" s="1136"/>
      <c r="F36" s="1136"/>
      <c r="G36" s="1136"/>
      <c r="H36" s="1136"/>
      <c r="I36" s="1136"/>
      <c r="J36" s="1136"/>
      <c r="K36" s="1136"/>
      <c r="L36" s="1136"/>
      <c r="M36" s="1136"/>
      <c r="N36" s="1136"/>
      <c r="O36" s="1136"/>
      <c r="P36" s="1136"/>
      <c r="Q36" s="1136"/>
      <c r="R36" s="1136"/>
      <c r="S36" s="1137"/>
      <c r="T36" s="102">
        <v>0.15</v>
      </c>
    </row>
    <row r="37" spans="2:20" ht="15.95" customHeight="1" x14ac:dyDescent="0.25">
      <c r="B37" s="103" t="s">
        <v>150</v>
      </c>
      <c r="C37" s="104" t="s">
        <v>235</v>
      </c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6"/>
      <c r="T37" s="107">
        <v>0.2</v>
      </c>
    </row>
    <row r="38" spans="2:20" ht="15.95" customHeight="1" x14ac:dyDescent="0.25">
      <c r="B38" s="103" t="s">
        <v>117</v>
      </c>
      <c r="C38" s="104" t="s">
        <v>236</v>
      </c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6"/>
      <c r="T38" s="107">
        <v>0.1</v>
      </c>
    </row>
    <row r="39" spans="2:20" ht="15.95" customHeight="1" x14ac:dyDescent="0.25">
      <c r="B39" s="103" t="s">
        <v>120</v>
      </c>
      <c r="C39" s="104" t="s">
        <v>237</v>
      </c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6"/>
      <c r="T39" s="107">
        <v>0.1</v>
      </c>
    </row>
    <row r="40" spans="2:20" ht="15.95" customHeight="1" x14ac:dyDescent="0.25">
      <c r="B40" s="103" t="s">
        <v>151</v>
      </c>
      <c r="C40" s="104" t="s">
        <v>238</v>
      </c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6"/>
      <c r="T40" s="107">
        <v>0.2</v>
      </c>
    </row>
    <row r="41" spans="2:20" ht="15.95" customHeight="1" x14ac:dyDescent="0.25">
      <c r="B41" s="103" t="s">
        <v>152</v>
      </c>
      <c r="C41" s="104" t="s">
        <v>239</v>
      </c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6"/>
      <c r="T41" s="107">
        <v>0.2</v>
      </c>
    </row>
    <row r="42" spans="2:20" ht="39" customHeight="1" x14ac:dyDescent="0.25">
      <c r="B42" s="103" t="s">
        <v>153</v>
      </c>
      <c r="C42" s="1132" t="s">
        <v>240</v>
      </c>
      <c r="D42" s="1133"/>
      <c r="E42" s="1133"/>
      <c r="F42" s="1133"/>
      <c r="G42" s="1133"/>
      <c r="H42" s="1133"/>
      <c r="I42" s="1133"/>
      <c r="J42" s="1133"/>
      <c r="K42" s="1133"/>
      <c r="L42" s="1133"/>
      <c r="M42" s="1133"/>
      <c r="N42" s="1133"/>
      <c r="O42" s="1133"/>
      <c r="P42" s="1133"/>
      <c r="Q42" s="1133"/>
      <c r="R42" s="1133"/>
      <c r="S42" s="1134"/>
      <c r="T42" s="107">
        <v>4</v>
      </c>
    </row>
    <row r="43" spans="2:20" ht="39" customHeight="1" x14ac:dyDescent="0.25">
      <c r="B43" s="103" t="s">
        <v>154</v>
      </c>
      <c r="C43" s="1132" t="s">
        <v>241</v>
      </c>
      <c r="D43" s="1133"/>
      <c r="E43" s="1133"/>
      <c r="F43" s="1133"/>
      <c r="G43" s="1133"/>
      <c r="H43" s="1133"/>
      <c r="I43" s="1133"/>
      <c r="J43" s="1133"/>
      <c r="K43" s="1133"/>
      <c r="L43" s="1133"/>
      <c r="M43" s="1133"/>
      <c r="N43" s="1133"/>
      <c r="O43" s="1133"/>
      <c r="P43" s="1133"/>
      <c r="Q43" s="1133"/>
      <c r="R43" s="1133"/>
      <c r="S43" s="1134"/>
      <c r="T43" s="107">
        <v>3</v>
      </c>
    </row>
    <row r="44" spans="2:20" ht="39" customHeight="1" x14ac:dyDescent="0.25">
      <c r="B44" s="103" t="s">
        <v>155</v>
      </c>
      <c r="C44" s="1132" t="s">
        <v>242</v>
      </c>
      <c r="D44" s="1133"/>
      <c r="E44" s="1133"/>
      <c r="F44" s="1133"/>
      <c r="G44" s="1133"/>
      <c r="H44" s="1133"/>
      <c r="I44" s="1133"/>
      <c r="J44" s="1133"/>
      <c r="K44" s="1133"/>
      <c r="L44" s="1133"/>
      <c r="M44" s="1133"/>
      <c r="N44" s="1133"/>
      <c r="O44" s="1133"/>
      <c r="P44" s="1133"/>
      <c r="Q44" s="1133"/>
      <c r="R44" s="1133"/>
      <c r="S44" s="1134"/>
      <c r="T44" s="107">
        <v>2</v>
      </c>
    </row>
    <row r="45" spans="2:20" ht="39" customHeight="1" x14ac:dyDescent="0.25">
      <c r="B45" s="103" t="s">
        <v>156</v>
      </c>
      <c r="C45" s="1132" t="s">
        <v>243</v>
      </c>
      <c r="D45" s="1133"/>
      <c r="E45" s="1133"/>
      <c r="F45" s="1133"/>
      <c r="G45" s="1133"/>
      <c r="H45" s="1133"/>
      <c r="I45" s="1133"/>
      <c r="J45" s="1133"/>
      <c r="K45" s="1133"/>
      <c r="L45" s="1133"/>
      <c r="M45" s="1133"/>
      <c r="N45" s="1133"/>
      <c r="O45" s="1133"/>
      <c r="P45" s="1133"/>
      <c r="Q45" s="1133"/>
      <c r="R45" s="1133"/>
      <c r="S45" s="1134"/>
      <c r="T45" s="107">
        <v>1</v>
      </c>
    </row>
    <row r="46" spans="2:20" ht="27.95" customHeight="1" x14ac:dyDescent="0.25">
      <c r="B46" s="103" t="s">
        <v>157</v>
      </c>
      <c r="C46" s="1132" t="s">
        <v>244</v>
      </c>
      <c r="D46" s="1133"/>
      <c r="E46" s="1133"/>
      <c r="F46" s="1133"/>
      <c r="G46" s="1133"/>
      <c r="H46" s="1133"/>
      <c r="I46" s="1133"/>
      <c r="J46" s="1133"/>
      <c r="K46" s="1133"/>
      <c r="L46" s="1133"/>
      <c r="M46" s="1133"/>
      <c r="N46" s="1133"/>
      <c r="O46" s="1133"/>
      <c r="P46" s="1133"/>
      <c r="Q46" s="1133"/>
      <c r="R46" s="1133"/>
      <c r="S46" s="1134"/>
      <c r="T46" s="107">
        <v>4</v>
      </c>
    </row>
    <row r="47" spans="2:20" ht="41.25" customHeight="1" x14ac:dyDescent="0.25">
      <c r="B47" s="103" t="s">
        <v>158</v>
      </c>
      <c r="C47" s="1132" t="s">
        <v>245</v>
      </c>
      <c r="D47" s="1133"/>
      <c r="E47" s="1133"/>
      <c r="F47" s="1133"/>
      <c r="G47" s="1133"/>
      <c r="H47" s="1133"/>
      <c r="I47" s="1133"/>
      <c r="J47" s="1133"/>
      <c r="K47" s="1133"/>
      <c r="L47" s="1133"/>
      <c r="M47" s="1133"/>
      <c r="N47" s="1133"/>
      <c r="O47" s="1133"/>
      <c r="P47" s="1133"/>
      <c r="Q47" s="1133"/>
      <c r="R47" s="1133"/>
      <c r="S47" s="1134"/>
      <c r="T47" s="107">
        <v>2</v>
      </c>
    </row>
    <row r="48" spans="2:20" ht="33.75" customHeight="1" x14ac:dyDescent="0.25">
      <c r="B48" s="103" t="s">
        <v>159</v>
      </c>
      <c r="C48" s="1132" t="s">
        <v>246</v>
      </c>
      <c r="D48" s="1133"/>
      <c r="E48" s="1133"/>
      <c r="F48" s="1133"/>
      <c r="G48" s="1133"/>
      <c r="H48" s="1133"/>
      <c r="I48" s="1133"/>
      <c r="J48" s="1133"/>
      <c r="K48" s="1133"/>
      <c r="L48" s="1133"/>
      <c r="M48" s="1133"/>
      <c r="N48" s="1133"/>
      <c r="O48" s="1133"/>
      <c r="P48" s="1133"/>
      <c r="Q48" s="1133"/>
      <c r="R48" s="1133"/>
      <c r="S48" s="1134"/>
      <c r="T48" s="107">
        <v>2</v>
      </c>
    </row>
    <row r="49" spans="2:20" ht="31.5" customHeight="1" x14ac:dyDescent="0.25">
      <c r="B49" s="103" t="s">
        <v>160</v>
      </c>
      <c r="C49" s="1132" t="s">
        <v>247</v>
      </c>
      <c r="D49" s="1133"/>
      <c r="E49" s="1133"/>
      <c r="F49" s="1133"/>
      <c r="G49" s="1133"/>
      <c r="H49" s="1133"/>
      <c r="I49" s="1133"/>
      <c r="J49" s="1133"/>
      <c r="K49" s="1133"/>
      <c r="L49" s="1133"/>
      <c r="M49" s="1133"/>
      <c r="N49" s="1133"/>
      <c r="O49" s="1133"/>
      <c r="P49" s="1133"/>
      <c r="Q49" s="1133"/>
      <c r="R49" s="1133"/>
      <c r="S49" s="108"/>
      <c r="T49" s="107">
        <v>1.5</v>
      </c>
    </row>
    <row r="50" spans="2:20" ht="29.25" customHeight="1" x14ac:dyDescent="0.25">
      <c r="B50" s="103" t="s">
        <v>161</v>
      </c>
      <c r="C50" s="1132" t="s">
        <v>248</v>
      </c>
      <c r="D50" s="1133"/>
      <c r="E50" s="1133"/>
      <c r="F50" s="1133"/>
      <c r="G50" s="1133"/>
      <c r="H50" s="1133"/>
      <c r="I50" s="1133"/>
      <c r="J50" s="1133"/>
      <c r="K50" s="1133"/>
      <c r="L50" s="1133"/>
      <c r="M50" s="1133"/>
      <c r="N50" s="1133"/>
      <c r="O50" s="1133"/>
      <c r="P50" s="1133"/>
      <c r="Q50" s="1133"/>
      <c r="R50" s="1133"/>
      <c r="S50" s="1134"/>
      <c r="T50" s="107">
        <v>2</v>
      </c>
    </row>
    <row r="51" spans="2:20" ht="40.5" customHeight="1" x14ac:dyDescent="0.25">
      <c r="B51" s="103" t="s">
        <v>162</v>
      </c>
      <c r="C51" s="1132" t="s">
        <v>249</v>
      </c>
      <c r="D51" s="1133"/>
      <c r="E51" s="1133"/>
      <c r="F51" s="1133"/>
      <c r="G51" s="1133"/>
      <c r="H51" s="1133"/>
      <c r="I51" s="1133"/>
      <c r="J51" s="1133"/>
      <c r="K51" s="1133"/>
      <c r="L51" s="1133"/>
      <c r="M51" s="1133"/>
      <c r="N51" s="1133"/>
      <c r="O51" s="1133"/>
      <c r="P51" s="1133"/>
      <c r="Q51" s="1133"/>
      <c r="R51" s="1133"/>
      <c r="S51" s="1134"/>
      <c r="T51" s="107">
        <v>1.5</v>
      </c>
    </row>
    <row r="52" spans="2:20" ht="38.1" customHeight="1" x14ac:dyDescent="0.25">
      <c r="B52" s="103" t="s">
        <v>163</v>
      </c>
      <c r="C52" s="1132" t="s">
        <v>250</v>
      </c>
      <c r="D52" s="1133"/>
      <c r="E52" s="1133"/>
      <c r="F52" s="1133"/>
      <c r="G52" s="1133"/>
      <c r="H52" s="1133"/>
      <c r="I52" s="1133"/>
      <c r="J52" s="1133"/>
      <c r="K52" s="1133"/>
      <c r="L52" s="1133"/>
      <c r="M52" s="1133"/>
      <c r="N52" s="1133"/>
      <c r="O52" s="1133"/>
      <c r="P52" s="1133"/>
      <c r="Q52" s="1133"/>
      <c r="R52" s="1133"/>
      <c r="S52" s="1134"/>
      <c r="T52" s="107">
        <v>1</v>
      </c>
    </row>
    <row r="53" spans="2:20" ht="15.95" customHeight="1" x14ac:dyDescent="0.25">
      <c r="B53" s="103" t="s">
        <v>164</v>
      </c>
      <c r="C53" s="104" t="s">
        <v>251</v>
      </c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6"/>
      <c r="T53" s="107">
        <v>6</v>
      </c>
    </row>
    <row r="54" spans="2:20" ht="15.95" customHeight="1" x14ac:dyDescent="0.25">
      <c r="B54" s="103" t="s">
        <v>165</v>
      </c>
      <c r="C54" s="104" t="s">
        <v>252</v>
      </c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6"/>
      <c r="T54" s="107">
        <v>3</v>
      </c>
    </row>
    <row r="55" spans="2:20" ht="15.95" customHeight="1" x14ac:dyDescent="0.25">
      <c r="B55" s="103" t="s">
        <v>166</v>
      </c>
      <c r="C55" s="104" t="s">
        <v>253</v>
      </c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6"/>
      <c r="T55" s="107">
        <v>1</v>
      </c>
    </row>
    <row r="56" spans="2:20" ht="27.95" customHeight="1" x14ac:dyDescent="0.25">
      <c r="B56" s="103" t="s">
        <v>167</v>
      </c>
      <c r="C56" s="1132" t="s">
        <v>254</v>
      </c>
      <c r="D56" s="1133"/>
      <c r="E56" s="1133"/>
      <c r="F56" s="1133"/>
      <c r="G56" s="1133"/>
      <c r="H56" s="1133"/>
      <c r="I56" s="1133"/>
      <c r="J56" s="1133"/>
      <c r="K56" s="1133"/>
      <c r="L56" s="1133"/>
      <c r="M56" s="1133"/>
      <c r="N56" s="1133"/>
      <c r="O56" s="1133"/>
      <c r="P56" s="1133"/>
      <c r="Q56" s="1133"/>
      <c r="R56" s="1133"/>
      <c r="S56" s="1134"/>
      <c r="T56" s="107">
        <v>1.5</v>
      </c>
    </row>
    <row r="57" spans="2:20" ht="27.95" customHeight="1" x14ac:dyDescent="0.25">
      <c r="B57" s="103" t="s">
        <v>168</v>
      </c>
      <c r="C57" s="1132" t="s">
        <v>255</v>
      </c>
      <c r="D57" s="1133"/>
      <c r="E57" s="1133"/>
      <c r="F57" s="1133"/>
      <c r="G57" s="1133"/>
      <c r="H57" s="1133"/>
      <c r="I57" s="1133"/>
      <c r="J57" s="1133"/>
      <c r="K57" s="1133"/>
      <c r="L57" s="1133"/>
      <c r="M57" s="1133"/>
      <c r="N57" s="1133"/>
      <c r="O57" s="1133"/>
      <c r="P57" s="1133"/>
      <c r="Q57" s="1133"/>
      <c r="R57" s="1133"/>
      <c r="S57" s="1134"/>
      <c r="T57" s="107">
        <v>1</v>
      </c>
    </row>
    <row r="58" spans="2:20" ht="27.95" customHeight="1" x14ac:dyDescent="0.25">
      <c r="B58" s="103" t="s">
        <v>122</v>
      </c>
      <c r="C58" s="1132" t="s">
        <v>256</v>
      </c>
      <c r="D58" s="1133"/>
      <c r="E58" s="1133"/>
      <c r="F58" s="1133"/>
      <c r="G58" s="1133"/>
      <c r="H58" s="1133"/>
      <c r="I58" s="1133"/>
      <c r="J58" s="1133"/>
      <c r="K58" s="1133"/>
      <c r="L58" s="1133"/>
      <c r="M58" s="1133"/>
      <c r="N58" s="1133"/>
      <c r="O58" s="1133"/>
      <c r="P58" s="1133"/>
      <c r="Q58" s="1133"/>
      <c r="R58" s="1133"/>
      <c r="S58" s="1134"/>
      <c r="T58" s="107">
        <v>0.5</v>
      </c>
    </row>
    <row r="59" spans="2:20" ht="15.95" customHeight="1" x14ac:dyDescent="0.25">
      <c r="B59" s="103" t="s">
        <v>169</v>
      </c>
      <c r="C59" s="104" t="s">
        <v>257</v>
      </c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6"/>
      <c r="T59" s="107">
        <v>3</v>
      </c>
    </row>
    <row r="60" spans="2:20" ht="27.95" customHeight="1" x14ac:dyDescent="0.25">
      <c r="B60" s="103" t="s">
        <v>170</v>
      </c>
      <c r="C60" s="1132" t="s">
        <v>258</v>
      </c>
      <c r="D60" s="1133"/>
      <c r="E60" s="1133"/>
      <c r="F60" s="1133"/>
      <c r="G60" s="1133"/>
      <c r="H60" s="1133"/>
      <c r="I60" s="1133"/>
      <c r="J60" s="1133"/>
      <c r="K60" s="1133"/>
      <c r="L60" s="1133"/>
      <c r="M60" s="1133"/>
      <c r="N60" s="1133"/>
      <c r="O60" s="1133"/>
      <c r="P60" s="1133"/>
      <c r="Q60" s="1133"/>
      <c r="R60" s="1133"/>
      <c r="S60" s="1134"/>
      <c r="T60" s="107">
        <v>1.5</v>
      </c>
    </row>
    <row r="61" spans="2:20" ht="15.95" customHeight="1" x14ac:dyDescent="0.25">
      <c r="B61" s="103" t="s">
        <v>171</v>
      </c>
      <c r="C61" s="104" t="s">
        <v>259</v>
      </c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6"/>
      <c r="T61" s="107">
        <v>1</v>
      </c>
    </row>
    <row r="62" spans="2:20" ht="15.95" customHeight="1" x14ac:dyDescent="0.25">
      <c r="B62" s="103" t="s">
        <v>172</v>
      </c>
      <c r="C62" s="104" t="s">
        <v>260</v>
      </c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6"/>
      <c r="T62" s="107">
        <v>1.5</v>
      </c>
    </row>
    <row r="63" spans="2:20" ht="15.95" customHeight="1" x14ac:dyDescent="0.25">
      <c r="B63" s="103" t="s">
        <v>173</v>
      </c>
      <c r="C63" s="104" t="s">
        <v>261</v>
      </c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6"/>
      <c r="T63" s="107">
        <v>4</v>
      </c>
    </row>
    <row r="64" spans="2:20" ht="15.95" customHeight="1" x14ac:dyDescent="0.25">
      <c r="B64" s="103" t="s">
        <v>174</v>
      </c>
      <c r="C64" s="104" t="s">
        <v>262</v>
      </c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6"/>
      <c r="T64" s="107">
        <v>2</v>
      </c>
    </row>
    <row r="65" spans="2:20" ht="15.95" customHeight="1" x14ac:dyDescent="0.25">
      <c r="B65" s="103" t="s">
        <v>175</v>
      </c>
      <c r="C65" s="104" t="s">
        <v>263</v>
      </c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6"/>
      <c r="T65" s="107">
        <v>4</v>
      </c>
    </row>
    <row r="66" spans="2:20" ht="15.95" customHeight="1" x14ac:dyDescent="0.25">
      <c r="B66" s="103" t="s">
        <v>176</v>
      </c>
      <c r="C66" s="104" t="s">
        <v>264</v>
      </c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6"/>
      <c r="T66" s="107">
        <v>2</v>
      </c>
    </row>
    <row r="67" spans="2:20" ht="15.95" customHeight="1" x14ac:dyDescent="0.25">
      <c r="B67" s="103" t="s">
        <v>177</v>
      </c>
      <c r="C67" s="104" t="s">
        <v>265</v>
      </c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6"/>
      <c r="T67" s="107">
        <v>2</v>
      </c>
    </row>
    <row r="68" spans="2:20" ht="15.95" customHeight="1" x14ac:dyDescent="0.25">
      <c r="B68" s="103" t="s">
        <v>178</v>
      </c>
      <c r="C68" s="104" t="s">
        <v>266</v>
      </c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6"/>
      <c r="T68" s="107">
        <v>1</v>
      </c>
    </row>
    <row r="69" spans="2:20" ht="15.95" customHeight="1" x14ac:dyDescent="0.25">
      <c r="B69" s="103" t="s">
        <v>179</v>
      </c>
      <c r="C69" s="104" t="s">
        <v>267</v>
      </c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6"/>
      <c r="T69" s="107">
        <v>2</v>
      </c>
    </row>
    <row r="70" spans="2:20" ht="15.95" customHeight="1" x14ac:dyDescent="0.25">
      <c r="B70" s="103" t="s">
        <v>124</v>
      </c>
      <c r="C70" s="104" t="s">
        <v>268</v>
      </c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6"/>
      <c r="T70" s="107">
        <v>1</v>
      </c>
    </row>
    <row r="71" spans="2:20" ht="15.95" customHeight="1" x14ac:dyDescent="0.25">
      <c r="B71" s="103" t="s">
        <v>180</v>
      </c>
      <c r="C71" s="104" t="s">
        <v>269</v>
      </c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6"/>
      <c r="T71" s="107">
        <v>4</v>
      </c>
    </row>
    <row r="72" spans="2:20" ht="15.95" customHeight="1" x14ac:dyDescent="0.25">
      <c r="B72" s="103" t="s">
        <v>181</v>
      </c>
      <c r="C72" s="104" t="s">
        <v>270</v>
      </c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6"/>
      <c r="T72" s="107">
        <v>2</v>
      </c>
    </row>
    <row r="73" spans="2:20" ht="27.95" customHeight="1" x14ac:dyDescent="0.25">
      <c r="B73" s="103" t="s">
        <v>182</v>
      </c>
      <c r="C73" s="1132" t="s">
        <v>271</v>
      </c>
      <c r="D73" s="1133"/>
      <c r="E73" s="1133"/>
      <c r="F73" s="1133"/>
      <c r="G73" s="1133"/>
      <c r="H73" s="1133"/>
      <c r="I73" s="1133"/>
      <c r="J73" s="1133"/>
      <c r="K73" s="1133"/>
      <c r="L73" s="1133"/>
      <c r="M73" s="1133"/>
      <c r="N73" s="1133"/>
      <c r="O73" s="1133"/>
      <c r="P73" s="1133"/>
      <c r="Q73" s="1133"/>
      <c r="R73" s="1133"/>
      <c r="S73" s="1134"/>
      <c r="T73" s="107">
        <v>1</v>
      </c>
    </row>
    <row r="74" spans="2:20" ht="27.95" customHeight="1" x14ac:dyDescent="0.25">
      <c r="B74" s="103" t="s">
        <v>183</v>
      </c>
      <c r="C74" s="1132" t="s">
        <v>272</v>
      </c>
      <c r="D74" s="1133"/>
      <c r="E74" s="1133"/>
      <c r="F74" s="1133"/>
      <c r="G74" s="1133"/>
      <c r="H74" s="1133"/>
      <c r="I74" s="1133"/>
      <c r="J74" s="1133"/>
      <c r="K74" s="1133"/>
      <c r="L74" s="1133"/>
      <c r="M74" s="1133"/>
      <c r="N74" s="1133"/>
      <c r="O74" s="1133"/>
      <c r="P74" s="1133"/>
      <c r="Q74" s="1133"/>
      <c r="R74" s="1133"/>
      <c r="S74" s="1134"/>
      <c r="T74" s="107">
        <v>1</v>
      </c>
    </row>
    <row r="75" spans="2:20" ht="15.95" customHeight="1" x14ac:dyDescent="0.25">
      <c r="B75" s="103" t="s">
        <v>184</v>
      </c>
      <c r="C75" s="109" t="s">
        <v>273</v>
      </c>
      <c r="D75" s="110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6"/>
      <c r="T75" s="107">
        <v>15</v>
      </c>
    </row>
    <row r="76" spans="2:20" ht="27.95" customHeight="1" x14ac:dyDescent="0.25">
      <c r="B76" s="103" t="s">
        <v>185</v>
      </c>
      <c r="C76" s="1138" t="s">
        <v>274</v>
      </c>
      <c r="D76" s="1139"/>
      <c r="E76" s="1139"/>
      <c r="F76" s="1139"/>
      <c r="G76" s="1139"/>
      <c r="H76" s="1139"/>
      <c r="I76" s="1139"/>
      <c r="J76" s="1139"/>
      <c r="K76" s="1139"/>
      <c r="L76" s="1139"/>
      <c r="M76" s="1139"/>
      <c r="N76" s="1139"/>
      <c r="O76" s="1139"/>
      <c r="P76" s="1139"/>
      <c r="Q76" s="1139"/>
      <c r="R76" s="1139"/>
      <c r="S76" s="1140"/>
      <c r="T76" s="107">
        <v>10</v>
      </c>
    </row>
    <row r="77" spans="2:20" ht="27.95" customHeight="1" x14ac:dyDescent="0.25">
      <c r="B77" s="103" t="s">
        <v>186</v>
      </c>
      <c r="C77" s="1138" t="s">
        <v>275</v>
      </c>
      <c r="D77" s="1139"/>
      <c r="E77" s="1139"/>
      <c r="F77" s="1139"/>
      <c r="G77" s="1139"/>
      <c r="H77" s="1139"/>
      <c r="I77" s="1139"/>
      <c r="J77" s="1139"/>
      <c r="K77" s="1139"/>
      <c r="L77" s="1139"/>
      <c r="M77" s="1139"/>
      <c r="N77" s="1139"/>
      <c r="O77" s="1139"/>
      <c r="P77" s="1139"/>
      <c r="Q77" s="1139"/>
      <c r="R77" s="1139"/>
      <c r="S77" s="1140"/>
      <c r="T77" s="107">
        <v>5</v>
      </c>
    </row>
    <row r="78" spans="2:20" ht="27.95" customHeight="1" x14ac:dyDescent="0.25">
      <c r="B78" s="79" t="s">
        <v>126</v>
      </c>
      <c r="C78" s="1141" t="s">
        <v>276</v>
      </c>
      <c r="D78" s="1142"/>
      <c r="E78" s="1142"/>
      <c r="F78" s="1142"/>
      <c r="G78" s="1142"/>
      <c r="H78" s="1142"/>
      <c r="I78" s="1142"/>
      <c r="J78" s="1142"/>
      <c r="K78" s="1142"/>
      <c r="L78" s="1142"/>
      <c r="M78" s="1142"/>
      <c r="N78" s="1142"/>
      <c r="O78" s="1142"/>
      <c r="P78" s="1142"/>
      <c r="Q78" s="1142"/>
      <c r="R78" s="1142"/>
      <c r="S78" s="1143"/>
      <c r="T78" s="111">
        <v>0.17</v>
      </c>
    </row>
    <row r="79" spans="2:20" ht="15.95" customHeight="1" x14ac:dyDescent="0.25">
      <c r="B79" s="79" t="s">
        <v>187</v>
      </c>
      <c r="C79" s="112" t="s">
        <v>277</v>
      </c>
      <c r="D79" s="113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5"/>
      <c r="T79" s="111">
        <v>0.08</v>
      </c>
    </row>
    <row r="80" spans="2:20" ht="15.95" customHeight="1" x14ac:dyDescent="0.25">
      <c r="B80" s="79" t="s">
        <v>188</v>
      </c>
      <c r="C80" s="112" t="s">
        <v>278</v>
      </c>
      <c r="D80" s="113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5"/>
      <c r="T80" s="111">
        <v>0.08</v>
      </c>
    </row>
    <row r="81" spans="2:20" ht="15.95" customHeight="1" x14ac:dyDescent="0.25">
      <c r="B81" s="114" t="s">
        <v>189</v>
      </c>
      <c r="C81" s="115" t="s">
        <v>279</v>
      </c>
      <c r="D81" s="116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8"/>
      <c r="T81" s="119">
        <v>1</v>
      </c>
    </row>
    <row r="82" spans="2:20" ht="15.95" customHeight="1" x14ac:dyDescent="0.25">
      <c r="B82" s="114" t="s">
        <v>128</v>
      </c>
      <c r="C82" s="115" t="s">
        <v>280</v>
      </c>
      <c r="D82" s="116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8"/>
      <c r="T82" s="119">
        <v>0.75</v>
      </c>
    </row>
    <row r="83" spans="2:20" ht="15.95" customHeight="1" x14ac:dyDescent="0.25">
      <c r="B83" s="114" t="s">
        <v>190</v>
      </c>
      <c r="C83" s="115" t="s">
        <v>281</v>
      </c>
      <c r="D83" s="116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8"/>
      <c r="T83" s="119">
        <v>1</v>
      </c>
    </row>
    <row r="84" spans="2:20" ht="15.95" customHeight="1" x14ac:dyDescent="0.25">
      <c r="B84" s="114" t="s">
        <v>191</v>
      </c>
      <c r="C84" s="115" t="s">
        <v>282</v>
      </c>
      <c r="D84" s="116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8"/>
      <c r="T84" s="119">
        <v>0.75</v>
      </c>
    </row>
    <row r="85" spans="2:20" ht="15.95" customHeight="1" x14ac:dyDescent="0.25">
      <c r="B85" s="79" t="s">
        <v>192</v>
      </c>
      <c r="C85" s="112" t="s">
        <v>283</v>
      </c>
      <c r="D85" s="113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5"/>
      <c r="T85" s="111">
        <v>0.04</v>
      </c>
    </row>
    <row r="86" spans="2:20" ht="15.95" customHeight="1" x14ac:dyDescent="0.25">
      <c r="B86" s="79" t="s">
        <v>193</v>
      </c>
      <c r="C86" s="112" t="s">
        <v>284</v>
      </c>
      <c r="D86" s="113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5"/>
      <c r="T86" s="111">
        <v>0.04</v>
      </c>
    </row>
    <row r="87" spans="2:20" ht="21.75" customHeight="1" x14ac:dyDescent="0.25">
      <c r="B87" s="79" t="s">
        <v>194</v>
      </c>
      <c r="C87" s="112" t="s">
        <v>285</v>
      </c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1"/>
      <c r="T87" s="111">
        <v>3</v>
      </c>
    </row>
    <row r="88" spans="2:20" ht="21.75" customHeight="1" x14ac:dyDescent="0.25">
      <c r="B88" s="79" t="s">
        <v>195</v>
      </c>
      <c r="C88" s="112" t="s">
        <v>286</v>
      </c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1"/>
      <c r="T88" s="111">
        <v>2</v>
      </c>
    </row>
    <row r="89" spans="2:20" ht="21.75" customHeight="1" x14ac:dyDescent="0.25">
      <c r="B89" s="79" t="s">
        <v>196</v>
      </c>
      <c r="C89" s="112" t="s">
        <v>287</v>
      </c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1"/>
      <c r="T89" s="111">
        <v>1</v>
      </c>
    </row>
    <row r="90" spans="2:20" ht="15.95" customHeight="1" x14ac:dyDescent="0.25">
      <c r="B90" s="79" t="s">
        <v>197</v>
      </c>
      <c r="C90" s="112" t="s">
        <v>288</v>
      </c>
      <c r="D90" s="113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5"/>
      <c r="T90" s="111">
        <v>1</v>
      </c>
    </row>
    <row r="91" spans="2:20" ht="15.95" customHeight="1" x14ac:dyDescent="0.25">
      <c r="B91" s="122"/>
      <c r="C91" s="123"/>
      <c r="D91" s="123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</row>
    <row r="92" spans="2:20" x14ac:dyDescent="0.25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</row>
  </sheetData>
  <sheetProtection formatColumns="0" selectLockedCells="1" selectUnlockedCells="1"/>
  <mergeCells count="29">
    <mergeCell ref="C74:S74"/>
    <mergeCell ref="C76:S76"/>
    <mergeCell ref="C77:S77"/>
    <mergeCell ref="C78:S78"/>
    <mergeCell ref="B3:D3"/>
    <mergeCell ref="C52:S52"/>
    <mergeCell ref="C56:S56"/>
    <mergeCell ref="C57:S57"/>
    <mergeCell ref="C58:S58"/>
    <mergeCell ref="C60:S60"/>
    <mergeCell ref="C73:S73"/>
    <mergeCell ref="C46:S46"/>
    <mergeCell ref="C47:S47"/>
    <mergeCell ref="C48:S48"/>
    <mergeCell ref="C49:R49"/>
    <mergeCell ref="C50:S50"/>
    <mergeCell ref="C51:S51"/>
    <mergeCell ref="C29:S29"/>
    <mergeCell ref="C36:S36"/>
    <mergeCell ref="C42:S42"/>
    <mergeCell ref="C43:S43"/>
    <mergeCell ref="C44:S44"/>
    <mergeCell ref="C45:S45"/>
    <mergeCell ref="C22:S22"/>
    <mergeCell ref="B8:T8"/>
    <mergeCell ref="B9:T9"/>
    <mergeCell ref="C11:S11"/>
    <mergeCell ref="C13:S13"/>
    <mergeCell ref="C14:S14"/>
  </mergeCells>
  <pageMargins left="0.99" right="0.39" top="0.9" bottom="0.54" header="0.31496062992126" footer="0.31496062992126"/>
  <pageSetup paperSize="5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AP46"/>
  <sheetViews>
    <sheetView showGridLines="0" view="pageBreakPreview" zoomScale="85" zoomScaleNormal="100" zoomScaleSheetLayoutView="85" workbookViewId="0"/>
  </sheetViews>
  <sheetFormatPr defaultColWidth="9.140625" defaultRowHeight="15.75" x14ac:dyDescent="0.25"/>
  <cols>
    <col min="1" max="1" width="9.140625" style="220" customWidth="1"/>
    <col min="2" max="2" width="4.85546875" style="220" customWidth="1"/>
    <col min="3" max="3" width="3.85546875" style="220" customWidth="1"/>
    <col min="4" max="4" width="32" style="220" customWidth="1"/>
    <col min="5" max="5" width="2.42578125" style="220" customWidth="1"/>
    <col min="6" max="6" width="31.5703125" style="220" customWidth="1"/>
    <col min="7" max="7" width="21.7109375" style="220" customWidth="1"/>
    <col min="8" max="8" width="9" style="220" hidden="1" customWidth="1"/>
    <col min="9" max="9" width="3" style="220" hidden="1" customWidth="1"/>
    <col min="10" max="10" width="0.42578125" style="220" hidden="1" customWidth="1"/>
    <col min="11" max="11" width="27.140625" style="220" customWidth="1"/>
    <col min="12" max="12" width="6.42578125" style="220" hidden="1" customWidth="1"/>
    <col min="13" max="13" width="9" style="220" hidden="1" customWidth="1"/>
    <col min="14" max="14" width="4.7109375" style="220" hidden="1" customWidth="1"/>
    <col min="15" max="17" width="9.7109375" style="220" hidden="1" customWidth="1"/>
    <col min="18" max="18" width="14.85546875" style="220" hidden="1" customWidth="1"/>
    <col min="19" max="21" width="9.7109375" style="220" hidden="1" customWidth="1"/>
    <col min="22" max="22" width="19.140625" style="220" hidden="1" customWidth="1"/>
    <col min="23" max="23" width="9.7109375" style="220" hidden="1" customWidth="1"/>
    <col min="24" max="27" width="9.140625" style="220" hidden="1" customWidth="1"/>
    <col min="28" max="28" width="39" style="220" hidden="1" customWidth="1"/>
    <col min="29" max="29" width="16.42578125" style="220" hidden="1" customWidth="1"/>
    <col min="30" max="31" width="9.140625" style="220" hidden="1" customWidth="1"/>
    <col min="32" max="32" width="7" style="220" customWidth="1"/>
    <col min="33" max="42" width="9.140625" style="220" customWidth="1"/>
    <col min="43" max="16384" width="9.140625" style="220"/>
  </cols>
  <sheetData>
    <row r="1" spans="1:42" ht="20.25" customHeight="1" x14ac:dyDescent="0.25">
      <c r="A1" s="373"/>
      <c r="B1" s="1149" t="s">
        <v>587</v>
      </c>
      <c r="C1" s="1150"/>
      <c r="D1" s="1150"/>
      <c r="E1" s="1150"/>
      <c r="F1" s="1150"/>
      <c r="G1" s="1150"/>
      <c r="H1" s="1150"/>
      <c r="I1" s="1150"/>
      <c r="J1" s="1150"/>
      <c r="K1" s="373"/>
      <c r="L1" s="373"/>
      <c r="M1" s="373"/>
      <c r="N1" s="373"/>
      <c r="O1" s="373"/>
      <c r="P1" s="373"/>
      <c r="Q1" s="373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7"/>
      <c r="AH1" s="517"/>
      <c r="AI1" s="221"/>
      <c r="AJ1" s="221"/>
      <c r="AK1" s="221"/>
      <c r="AL1" s="221"/>
      <c r="AM1" s="221"/>
      <c r="AN1" s="221"/>
      <c r="AO1" s="221"/>
      <c r="AP1" s="221"/>
    </row>
    <row r="2" spans="1:42" ht="20.25" customHeight="1" x14ac:dyDescent="0.25">
      <c r="A2" s="373"/>
      <c r="B2" s="265"/>
      <c r="C2" s="266"/>
      <c r="D2" s="266"/>
      <c r="E2" s="266"/>
      <c r="F2" s="266"/>
      <c r="G2" s="266"/>
      <c r="H2" s="266"/>
      <c r="I2" s="266"/>
      <c r="J2" s="266"/>
      <c r="K2" s="373"/>
      <c r="L2" s="373"/>
      <c r="M2" s="373"/>
      <c r="N2" s="373"/>
      <c r="O2" s="373"/>
      <c r="P2" s="373"/>
      <c r="Q2" s="373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  <c r="AE2" s="517"/>
      <c r="AF2" s="517"/>
      <c r="AG2" s="517"/>
      <c r="AH2" s="517"/>
      <c r="AI2" s="221"/>
      <c r="AJ2" s="221"/>
      <c r="AK2" s="221"/>
      <c r="AL2" s="221"/>
      <c r="AM2" s="221"/>
      <c r="AN2" s="221"/>
      <c r="AO2" s="221"/>
      <c r="AP2" s="221"/>
    </row>
    <row r="3" spans="1:42" ht="18" x14ac:dyDescent="0.25">
      <c r="A3" s="373"/>
      <c r="B3" s="265"/>
      <c r="C3" s="266"/>
      <c r="D3" s="267" t="s">
        <v>55</v>
      </c>
      <c r="E3" s="267" t="s">
        <v>16</v>
      </c>
      <c r="F3" s="267" t="str">
        <f>F10</f>
        <v>MTs Negeri 5 Sleman</v>
      </c>
      <c r="G3" s="266"/>
      <c r="H3" s="478"/>
      <c r="I3" s="478"/>
      <c r="J3" s="478"/>
      <c r="K3" s="373"/>
      <c r="L3" s="373"/>
      <c r="M3" s="373"/>
      <c r="N3" s="373"/>
      <c r="O3" s="373"/>
      <c r="P3" s="373"/>
      <c r="Q3" s="373"/>
      <c r="R3" s="517"/>
      <c r="S3" s="517"/>
      <c r="T3" s="517"/>
      <c r="U3" s="517"/>
      <c r="V3" s="517"/>
      <c r="W3" s="517"/>
      <c r="X3" s="517"/>
      <c r="Y3" s="517"/>
      <c r="Z3" s="517"/>
      <c r="AA3" s="517"/>
      <c r="AB3" s="517"/>
      <c r="AC3" s="517"/>
      <c r="AD3" s="517"/>
      <c r="AE3" s="517"/>
      <c r="AF3" s="517"/>
      <c r="AG3" s="517"/>
      <c r="AH3" s="517"/>
      <c r="AI3" s="221"/>
      <c r="AJ3" s="221"/>
      <c r="AK3" s="221"/>
      <c r="AL3" s="221"/>
      <c r="AM3" s="221"/>
      <c r="AN3" s="221"/>
      <c r="AO3" s="221"/>
      <c r="AP3" s="221"/>
    </row>
    <row r="4" spans="1:42" ht="27.75" customHeight="1" x14ac:dyDescent="0.25">
      <c r="A4" s="223"/>
      <c r="B4" s="223"/>
      <c r="C4" s="223"/>
      <c r="D4" s="224" t="s">
        <v>37</v>
      </c>
      <c r="E4" s="224" t="s">
        <v>16</v>
      </c>
      <c r="F4" s="225" t="str">
        <f>PERIODE!E12</f>
        <v>01 Juli s.d. 31 Desember 2021</v>
      </c>
      <c r="G4" s="225"/>
      <c r="H4" s="223"/>
      <c r="I4" s="223"/>
      <c r="J4" s="223"/>
      <c r="K4" s="223"/>
      <c r="L4" s="373"/>
      <c r="M4" s="373"/>
      <c r="N4" s="373"/>
      <c r="O4" s="373"/>
      <c r="P4" s="373"/>
      <c r="Q4" s="373"/>
      <c r="R4" s="517"/>
      <c r="S4" s="518" t="s">
        <v>312</v>
      </c>
      <c r="T4" s="519" t="s">
        <v>313</v>
      </c>
      <c r="U4" s="518" t="s">
        <v>314</v>
      </c>
      <c r="V4" s="518" t="s">
        <v>315</v>
      </c>
      <c r="W4" s="518" t="s">
        <v>316</v>
      </c>
      <c r="X4" s="518" t="s">
        <v>317</v>
      </c>
      <c r="Y4" s="518" t="s">
        <v>318</v>
      </c>
      <c r="Z4" s="520" t="s">
        <v>319</v>
      </c>
      <c r="AA4" s="517"/>
      <c r="AB4" s="517"/>
      <c r="AC4" s="517"/>
      <c r="AD4" s="517"/>
      <c r="AE4" s="517"/>
      <c r="AF4" s="517"/>
      <c r="AG4" s="517"/>
      <c r="AH4" s="517"/>
      <c r="AI4" s="221"/>
      <c r="AJ4" s="221"/>
      <c r="AK4" s="221"/>
      <c r="AL4" s="221"/>
      <c r="AM4" s="221"/>
      <c r="AN4" s="221"/>
      <c r="AO4" s="221"/>
      <c r="AP4" s="221"/>
    </row>
    <row r="5" spans="1:42" ht="20.25" customHeight="1" x14ac:dyDescent="0.25">
      <c r="A5" s="223"/>
      <c r="B5" s="229">
        <v>1</v>
      </c>
      <c r="C5" s="230"/>
      <c r="D5" s="966" t="s">
        <v>38</v>
      </c>
      <c r="E5" s="966"/>
      <c r="F5" s="966"/>
      <c r="G5" s="231"/>
      <c r="H5" s="232"/>
      <c r="I5" s="232"/>
      <c r="J5" s="233"/>
      <c r="K5" s="374"/>
      <c r="L5" s="375"/>
      <c r="M5" s="375"/>
      <c r="N5" s="375"/>
      <c r="O5" s="375"/>
      <c r="P5" s="375"/>
      <c r="Q5" s="373"/>
      <c r="R5" s="521" t="s">
        <v>92</v>
      </c>
      <c r="S5" s="522">
        <f>((50-3-5)*100%)/4</f>
        <v>10.5</v>
      </c>
      <c r="T5" s="522">
        <f>((50-(3+4)-5)*100%)/4</f>
        <v>9.5</v>
      </c>
      <c r="U5" s="522">
        <f>((100-(3+6)-10)*100%)/4</f>
        <v>20.25</v>
      </c>
      <c r="V5" s="522">
        <f>((100-(4+8)-10)*100%)/4</f>
        <v>19.5</v>
      </c>
      <c r="W5" s="522">
        <f>((150-(12+4)-15)*100%)/4</f>
        <v>29.75</v>
      </c>
      <c r="X5" s="522">
        <f>((150-(12+4)-15)*100%)/4</f>
        <v>29.75</v>
      </c>
      <c r="Y5" s="522">
        <f>((150-(12+5)-15)*100%)/4</f>
        <v>29.5</v>
      </c>
      <c r="Z5" s="522">
        <f>((200-(20+5)-20)*100%)/4</f>
        <v>38.75</v>
      </c>
      <c r="AA5" s="517"/>
      <c r="AB5" s="517">
        <f>Z5*4</f>
        <v>155</v>
      </c>
      <c r="AC5" s="517"/>
      <c r="AD5" s="517"/>
      <c r="AE5" s="517"/>
      <c r="AF5" s="517"/>
      <c r="AG5" s="517"/>
      <c r="AH5" s="517"/>
      <c r="AI5" s="221"/>
      <c r="AJ5" s="221"/>
      <c r="AK5" s="221"/>
      <c r="AL5" s="221"/>
      <c r="AM5" s="221"/>
      <c r="AN5" s="221"/>
      <c r="AO5" s="221"/>
      <c r="AP5" s="221"/>
    </row>
    <row r="6" spans="1:42" ht="24" customHeight="1" x14ac:dyDescent="0.25">
      <c r="A6" s="223"/>
      <c r="B6" s="237"/>
      <c r="C6" s="238" t="s">
        <v>23</v>
      </c>
      <c r="D6" s="239" t="s">
        <v>2</v>
      </c>
      <c r="E6" s="238"/>
      <c r="F6" s="1148" t="s">
        <v>701</v>
      </c>
      <c r="G6" s="968"/>
      <c r="H6" s="240"/>
      <c r="I6" s="240"/>
      <c r="J6" s="479"/>
      <c r="K6" s="418"/>
      <c r="L6" s="419"/>
      <c r="M6" s="419"/>
      <c r="N6" s="419"/>
      <c r="O6" s="419"/>
      <c r="P6" s="419"/>
      <c r="Q6" s="373"/>
      <c r="R6" s="517" t="s">
        <v>417</v>
      </c>
      <c r="S6" s="517"/>
      <c r="T6" s="517"/>
      <c r="U6" s="517"/>
      <c r="V6" s="517"/>
      <c r="W6" s="517"/>
      <c r="X6" s="517"/>
      <c r="Y6" s="517"/>
      <c r="Z6" s="517"/>
      <c r="AA6" s="517"/>
      <c r="AB6" s="517"/>
      <c r="AC6" s="517"/>
      <c r="AD6" s="517"/>
      <c r="AE6" s="517"/>
      <c r="AF6" s="517"/>
      <c r="AG6" s="517"/>
      <c r="AH6" s="517"/>
      <c r="AI6" s="221"/>
      <c r="AJ6" s="221"/>
      <c r="AK6" s="221"/>
      <c r="AL6" s="221"/>
      <c r="AM6" s="221"/>
      <c r="AN6" s="221"/>
      <c r="AO6" s="221"/>
      <c r="AP6" s="221"/>
    </row>
    <row r="7" spans="1:42" ht="24" customHeight="1" x14ac:dyDescent="0.25">
      <c r="A7" s="223"/>
      <c r="B7" s="237"/>
      <c r="C7" s="238" t="s">
        <v>39</v>
      </c>
      <c r="D7" s="239" t="s">
        <v>3</v>
      </c>
      <c r="E7" s="238"/>
      <c r="F7" s="1151" t="s">
        <v>698</v>
      </c>
      <c r="G7" s="1508"/>
      <c r="H7" s="240"/>
      <c r="I7" s="240"/>
      <c r="J7" s="479"/>
      <c r="K7" s="418"/>
      <c r="L7" s="419"/>
      <c r="M7" s="419"/>
      <c r="N7" s="419"/>
      <c r="O7" s="419"/>
      <c r="P7" s="419"/>
      <c r="Q7" s="373"/>
      <c r="R7" s="517"/>
      <c r="S7" s="517"/>
      <c r="T7" s="517"/>
      <c r="U7" s="517"/>
      <c r="V7" s="517"/>
      <c r="W7" s="517"/>
      <c r="X7" s="517"/>
      <c r="Y7" s="517"/>
      <c r="Z7" s="517"/>
      <c r="AA7" s="517"/>
      <c r="AB7" s="524" t="s">
        <v>15</v>
      </c>
      <c r="AC7" s="524" t="s">
        <v>15</v>
      </c>
      <c r="AD7" s="517"/>
      <c r="AE7" s="517"/>
      <c r="AF7" s="517"/>
      <c r="AG7" s="517"/>
      <c r="AH7" s="517"/>
      <c r="AI7" s="221"/>
      <c r="AJ7" s="221"/>
      <c r="AK7" s="221"/>
      <c r="AL7" s="221"/>
      <c r="AM7" s="221"/>
      <c r="AN7" s="221"/>
      <c r="AO7" s="221"/>
      <c r="AP7" s="221"/>
    </row>
    <row r="8" spans="1:42" ht="24" customHeight="1" x14ac:dyDescent="0.25">
      <c r="A8" s="223"/>
      <c r="B8" s="513">
        <f>IF(F8=AB8,S5,IF(F8=AB9,T5,IF(F8=AB10,U5,IF(F8=AB11,V5,IF(F8=AB12,W5,IF(F8=AB13,X5,IF(F8=AB14,Y5,IF(F8=AB15,Z5,"-"))))))))</f>
        <v>10.5</v>
      </c>
      <c r="C8" s="238" t="s">
        <v>40</v>
      </c>
      <c r="D8" s="239" t="s">
        <v>320</v>
      </c>
      <c r="E8" s="238"/>
      <c r="F8" s="1148" t="s">
        <v>324</v>
      </c>
      <c r="G8" s="968"/>
      <c r="H8" s="240"/>
      <c r="I8" s="240"/>
      <c r="J8" s="479"/>
      <c r="K8" s="418"/>
      <c r="L8" s="419" t="s">
        <v>413</v>
      </c>
      <c r="M8" s="419"/>
      <c r="N8" s="419"/>
      <c r="O8" s="419"/>
      <c r="P8" s="419"/>
      <c r="Q8" s="373"/>
      <c r="R8" s="517"/>
      <c r="S8" s="517"/>
      <c r="T8" s="525" t="s">
        <v>203</v>
      </c>
      <c r="U8" s="526">
        <f>B8</f>
        <v>10.5</v>
      </c>
      <c r="V8" s="525" t="s">
        <v>203</v>
      </c>
      <c r="W8" s="517"/>
      <c r="X8" s="527" t="s">
        <v>322</v>
      </c>
      <c r="Y8" s="527"/>
      <c r="Z8" s="527"/>
      <c r="AA8" s="527" t="s">
        <v>323</v>
      </c>
      <c r="AB8" s="527" t="s">
        <v>324</v>
      </c>
      <c r="AC8" s="527" t="s">
        <v>322</v>
      </c>
      <c r="AD8" s="527"/>
      <c r="AE8" s="517"/>
      <c r="AF8" s="517"/>
      <c r="AG8" s="517"/>
      <c r="AH8" s="517"/>
      <c r="AI8" s="221"/>
      <c r="AJ8" s="221"/>
      <c r="AK8" s="221"/>
      <c r="AL8" s="221"/>
      <c r="AM8" s="221"/>
      <c r="AN8" s="221"/>
      <c r="AO8" s="221"/>
      <c r="AP8" s="221"/>
    </row>
    <row r="9" spans="1:42" ht="24" customHeight="1" x14ac:dyDescent="0.25">
      <c r="A9" s="223"/>
      <c r="B9" s="237"/>
      <c r="C9" s="238" t="s">
        <v>41</v>
      </c>
      <c r="D9" s="239" t="s">
        <v>42</v>
      </c>
      <c r="E9" s="743"/>
      <c r="F9" s="523" t="str">
        <f>VLOOKUP(F8,$AB$7:$AC$16,2,)</f>
        <v>Guru Pertama</v>
      </c>
      <c r="G9" s="246" t="s">
        <v>203</v>
      </c>
      <c r="H9" s="247" t="str">
        <f>G9</f>
        <v>Guru</v>
      </c>
      <c r="I9" s="247"/>
      <c r="J9" s="248"/>
      <c r="K9" s="418"/>
      <c r="L9" s="528">
        <f>VLOOKUP(G9,tambah,2,)*O9</f>
        <v>110.25</v>
      </c>
      <c r="M9" s="528">
        <f>B8</f>
        <v>10.5</v>
      </c>
      <c r="N9" s="529">
        <f>M9*L9</f>
        <v>1157.625</v>
      </c>
      <c r="O9" s="530">
        <f>IF(F8=AB8,S5,IF(F8=AB9,T5,IF(F8=AB10,U5,IF(F8=AB11,V5,IF(F8=AB12,W5,IF(F8=AB13,X5,IF(F8=AB14,Y5,IF(F8=AB15,Z5,"-"))))))))</f>
        <v>10.5</v>
      </c>
      <c r="P9" s="419"/>
      <c r="Q9" s="373"/>
      <c r="R9" s="517"/>
      <c r="S9" s="517"/>
      <c r="T9" s="525" t="s">
        <v>58</v>
      </c>
      <c r="U9" s="531">
        <v>0.75</v>
      </c>
      <c r="V9" s="525" t="s">
        <v>58</v>
      </c>
      <c r="W9" s="517"/>
      <c r="X9" s="527" t="s">
        <v>322</v>
      </c>
      <c r="Y9" s="527"/>
      <c r="Z9" s="527"/>
      <c r="AA9" s="527" t="s">
        <v>325</v>
      </c>
      <c r="AB9" s="527" t="s">
        <v>326</v>
      </c>
      <c r="AC9" s="527" t="s">
        <v>322</v>
      </c>
      <c r="AD9" s="527"/>
      <c r="AE9" s="517"/>
      <c r="AF9" s="517"/>
      <c r="AG9" s="517"/>
      <c r="AH9" s="517"/>
      <c r="AI9" s="221"/>
      <c r="AJ9" s="221"/>
      <c r="AK9" s="221"/>
      <c r="AL9" s="221"/>
      <c r="AM9" s="221"/>
      <c r="AN9" s="221"/>
      <c r="AO9" s="221"/>
      <c r="AP9" s="221"/>
    </row>
    <row r="10" spans="1:42" ht="24" customHeight="1" x14ac:dyDescent="0.25">
      <c r="A10" s="223"/>
      <c r="B10" s="249"/>
      <c r="C10" s="238" t="s">
        <v>43</v>
      </c>
      <c r="D10" s="239" t="s">
        <v>44</v>
      </c>
      <c r="E10" s="238"/>
      <c r="F10" s="1148" t="s">
        <v>327</v>
      </c>
      <c r="G10" s="968"/>
      <c r="H10" s="240"/>
      <c r="I10" s="240"/>
      <c r="J10" s="479"/>
      <c r="K10" s="418"/>
      <c r="L10" s="419"/>
      <c r="M10" s="419"/>
      <c r="N10" s="419"/>
      <c r="O10" s="419"/>
      <c r="P10" s="419"/>
      <c r="Q10" s="373"/>
      <c r="R10" s="517"/>
      <c r="S10" s="517"/>
      <c r="T10" s="525" t="s">
        <v>328</v>
      </c>
      <c r="U10" s="517">
        <v>0.5</v>
      </c>
      <c r="V10" s="525" t="s">
        <v>328</v>
      </c>
      <c r="W10" s="517"/>
      <c r="X10" s="527" t="s">
        <v>329</v>
      </c>
      <c r="Y10" s="527"/>
      <c r="Z10" s="527"/>
      <c r="AA10" s="527" t="s">
        <v>330</v>
      </c>
      <c r="AB10" s="527" t="s">
        <v>331</v>
      </c>
      <c r="AC10" s="527" t="s">
        <v>329</v>
      </c>
      <c r="AD10" s="527"/>
      <c r="AE10" s="517"/>
      <c r="AF10" s="517"/>
      <c r="AG10" s="517"/>
      <c r="AH10" s="517"/>
      <c r="AI10" s="221"/>
      <c r="AJ10" s="221"/>
      <c r="AK10" s="221"/>
      <c r="AL10" s="221"/>
      <c r="AM10" s="221"/>
      <c r="AN10" s="221"/>
      <c r="AO10" s="221"/>
      <c r="AP10" s="221"/>
    </row>
    <row r="11" spans="1:42" ht="22.5" customHeight="1" x14ac:dyDescent="0.25">
      <c r="A11" s="223"/>
      <c r="B11" s="514">
        <v>2</v>
      </c>
      <c r="C11" s="515"/>
      <c r="D11" s="1147" t="s">
        <v>45</v>
      </c>
      <c r="E11" s="1147"/>
      <c r="F11" s="1147"/>
      <c r="G11" s="516"/>
      <c r="H11" s="252"/>
      <c r="I11" s="252"/>
      <c r="J11" s="253"/>
      <c r="K11" s="374"/>
      <c r="L11" s="375"/>
      <c r="M11" s="375"/>
      <c r="N11" s="375"/>
      <c r="O11" s="375"/>
      <c r="P11" s="375"/>
      <c r="Q11" s="373"/>
      <c r="R11" s="517"/>
      <c r="S11" s="517"/>
      <c r="T11" s="525" t="s">
        <v>208</v>
      </c>
      <c r="U11" s="517">
        <v>0.5</v>
      </c>
      <c r="V11" s="525" t="s">
        <v>208</v>
      </c>
      <c r="W11" s="517"/>
      <c r="X11" s="527" t="s">
        <v>329</v>
      </c>
      <c r="Y11" s="527"/>
      <c r="Z11" s="527"/>
      <c r="AA11" s="527" t="s">
        <v>332</v>
      </c>
      <c r="AB11" s="527" t="s">
        <v>333</v>
      </c>
      <c r="AC11" s="527" t="s">
        <v>329</v>
      </c>
      <c r="AD11" s="527"/>
      <c r="AE11" s="517"/>
      <c r="AF11" s="517"/>
      <c r="AG11" s="517"/>
      <c r="AH11" s="517"/>
      <c r="AI11" s="221"/>
      <c r="AJ11" s="221"/>
      <c r="AK11" s="221"/>
      <c r="AL11" s="221"/>
      <c r="AM11" s="221"/>
      <c r="AN11" s="221"/>
      <c r="AO11" s="221"/>
      <c r="AP11" s="221"/>
    </row>
    <row r="12" spans="1:42" x14ac:dyDescent="0.25">
      <c r="A12" s="223"/>
      <c r="B12" s="237"/>
      <c r="C12" s="238" t="s">
        <v>23</v>
      </c>
      <c r="D12" s="239" t="s">
        <v>2</v>
      </c>
      <c r="E12" s="238"/>
      <c r="F12" s="1158" t="s">
        <v>347</v>
      </c>
      <c r="G12" s="975"/>
      <c r="H12" s="240"/>
      <c r="I12" s="240"/>
      <c r="J12" s="479"/>
      <c r="K12" s="418"/>
      <c r="L12" s="419"/>
      <c r="M12" s="419"/>
      <c r="N12" s="419"/>
      <c r="O12" s="419"/>
      <c r="P12" s="419"/>
      <c r="Q12" s="373"/>
      <c r="R12" s="517"/>
      <c r="S12" s="517"/>
      <c r="T12" s="525" t="s">
        <v>210</v>
      </c>
      <c r="U12" s="517">
        <v>0.5</v>
      </c>
      <c r="V12" s="525" t="s">
        <v>210</v>
      </c>
      <c r="W12" s="517"/>
      <c r="X12" s="527" t="s">
        <v>334</v>
      </c>
      <c r="Y12" s="527"/>
      <c r="Z12" s="527"/>
      <c r="AA12" s="527" t="s">
        <v>335</v>
      </c>
      <c r="AB12" s="527" t="s">
        <v>321</v>
      </c>
      <c r="AC12" s="527" t="s">
        <v>334</v>
      </c>
      <c r="AD12" s="527"/>
      <c r="AE12" s="517"/>
      <c r="AF12" s="517"/>
      <c r="AG12" s="517"/>
      <c r="AH12" s="517"/>
      <c r="AI12" s="221"/>
      <c r="AJ12" s="221"/>
      <c r="AK12" s="221"/>
      <c r="AL12" s="221"/>
      <c r="AM12" s="221"/>
      <c r="AN12" s="221"/>
      <c r="AO12" s="221"/>
      <c r="AP12" s="221"/>
    </row>
    <row r="13" spans="1:42" ht="24" customHeight="1" x14ac:dyDescent="0.25">
      <c r="A13" s="223"/>
      <c r="B13" s="237"/>
      <c r="C13" s="238" t="s">
        <v>39</v>
      </c>
      <c r="D13" s="239" t="s">
        <v>3</v>
      </c>
      <c r="E13" s="238"/>
      <c r="F13" s="1159" t="s">
        <v>311</v>
      </c>
      <c r="G13" s="973"/>
      <c r="H13" s="240"/>
      <c r="I13" s="240"/>
      <c r="J13" s="479"/>
      <c r="K13" s="418"/>
      <c r="L13" s="419"/>
      <c r="M13" s="419"/>
      <c r="N13" s="419"/>
      <c r="O13" s="419"/>
      <c r="P13" s="419"/>
      <c r="Q13" s="373"/>
      <c r="R13" s="517"/>
      <c r="S13" s="517"/>
      <c r="T13" s="525" t="s">
        <v>212</v>
      </c>
      <c r="U13" s="517">
        <v>0.5</v>
      </c>
      <c r="V13" s="525" t="s">
        <v>212</v>
      </c>
      <c r="W13" s="517"/>
      <c r="X13" s="527" t="s">
        <v>334</v>
      </c>
      <c r="Y13" s="527"/>
      <c r="Z13" s="527"/>
      <c r="AA13" s="527" t="s">
        <v>336</v>
      </c>
      <c r="AB13" s="527" t="s">
        <v>337</v>
      </c>
      <c r="AC13" s="527" t="s">
        <v>334</v>
      </c>
      <c r="AD13" s="527"/>
      <c r="AE13" s="517"/>
      <c r="AF13" s="517"/>
      <c r="AG13" s="517"/>
      <c r="AH13" s="517"/>
      <c r="AI13" s="221"/>
      <c r="AJ13" s="221"/>
      <c r="AK13" s="221"/>
      <c r="AL13" s="221"/>
      <c r="AM13" s="221"/>
      <c r="AN13" s="221"/>
      <c r="AO13" s="221"/>
      <c r="AP13" s="221"/>
    </row>
    <row r="14" spans="1:42" ht="24" customHeight="1" x14ac:dyDescent="0.25">
      <c r="A14" s="223"/>
      <c r="B14" s="237"/>
      <c r="C14" s="238" t="s">
        <v>40</v>
      </c>
      <c r="D14" s="239" t="s">
        <v>320</v>
      </c>
      <c r="E14" s="238"/>
      <c r="F14" s="1148" t="s">
        <v>321</v>
      </c>
      <c r="G14" s="968"/>
      <c r="H14" s="240"/>
      <c r="I14" s="240"/>
      <c r="J14" s="479"/>
      <c r="K14" s="418"/>
      <c r="L14" s="419"/>
      <c r="M14" s="419"/>
      <c r="N14" s="419"/>
      <c r="O14" s="419"/>
      <c r="P14" s="419"/>
      <c r="Q14" s="373"/>
      <c r="R14" s="517"/>
      <c r="S14" s="517"/>
      <c r="T14" s="525" t="s">
        <v>214</v>
      </c>
      <c r="U14" s="517">
        <v>0.5</v>
      </c>
      <c r="V14" s="525" t="s">
        <v>214</v>
      </c>
      <c r="W14" s="517"/>
      <c r="X14" s="527" t="s">
        <v>334</v>
      </c>
      <c r="Y14" s="527"/>
      <c r="Z14" s="527"/>
      <c r="AA14" s="527" t="s">
        <v>338</v>
      </c>
      <c r="AB14" s="527" t="s">
        <v>339</v>
      </c>
      <c r="AC14" s="527" t="s">
        <v>334</v>
      </c>
      <c r="AD14" s="527"/>
      <c r="AE14" s="517"/>
      <c r="AF14" s="517"/>
      <c r="AG14" s="517"/>
      <c r="AH14" s="517"/>
      <c r="AI14" s="221"/>
      <c r="AJ14" s="221"/>
      <c r="AK14" s="221"/>
      <c r="AL14" s="221"/>
      <c r="AM14" s="221"/>
      <c r="AN14" s="221"/>
      <c r="AO14" s="221"/>
      <c r="AP14" s="221"/>
    </row>
    <row r="15" spans="1:42" ht="24" customHeight="1" x14ac:dyDescent="0.25">
      <c r="A15" s="223"/>
      <c r="B15" s="237"/>
      <c r="C15" s="238" t="s">
        <v>41</v>
      </c>
      <c r="D15" s="239" t="s">
        <v>340</v>
      </c>
      <c r="E15" s="238"/>
      <c r="F15" s="744" t="str">
        <f>VLOOKUP(F14,PANGKAT,2,)</f>
        <v>Guru Madya</v>
      </c>
      <c r="G15" s="829" t="s">
        <v>58</v>
      </c>
      <c r="H15" s="240"/>
      <c r="I15" s="240"/>
      <c r="J15" s="479"/>
      <c r="K15" s="418"/>
      <c r="L15" s="419"/>
      <c r="M15" s="419"/>
      <c r="N15" s="419"/>
      <c r="O15" s="419"/>
      <c r="P15" s="419"/>
      <c r="Q15" s="373"/>
      <c r="R15" s="517"/>
      <c r="S15" s="517"/>
      <c r="T15" s="525" t="s">
        <v>216</v>
      </c>
      <c r="U15" s="517">
        <v>0.5</v>
      </c>
      <c r="V15" s="525" t="s">
        <v>216</v>
      </c>
      <c r="W15" s="517"/>
      <c r="X15" s="527" t="s">
        <v>341</v>
      </c>
      <c r="Y15" s="527"/>
      <c r="Z15" s="527"/>
      <c r="AA15" s="527" t="s">
        <v>342</v>
      </c>
      <c r="AB15" s="527" t="s">
        <v>343</v>
      </c>
      <c r="AC15" s="527" t="s">
        <v>341</v>
      </c>
      <c r="AD15" s="527"/>
      <c r="AE15" s="517"/>
      <c r="AF15" s="517"/>
      <c r="AG15" s="517"/>
      <c r="AH15" s="517"/>
      <c r="AI15" s="221"/>
      <c r="AJ15" s="221"/>
      <c r="AK15" s="221"/>
      <c r="AL15" s="221"/>
      <c r="AM15" s="221"/>
      <c r="AN15" s="221"/>
      <c r="AO15" s="221"/>
      <c r="AP15" s="221"/>
    </row>
    <row r="16" spans="1:42" ht="24" customHeight="1" x14ac:dyDescent="0.25">
      <c r="A16" s="223"/>
      <c r="B16" s="249"/>
      <c r="C16" s="238" t="s">
        <v>43</v>
      </c>
      <c r="D16" s="239" t="s">
        <v>44</v>
      </c>
      <c r="E16" s="238"/>
      <c r="F16" s="1148" t="str">
        <f>F10</f>
        <v>MTs Negeri 5 Sleman</v>
      </c>
      <c r="G16" s="968"/>
      <c r="H16" s="240"/>
      <c r="I16" s="240"/>
      <c r="J16" s="479"/>
      <c r="K16" s="418"/>
      <c r="L16" s="419"/>
      <c r="M16" s="419"/>
      <c r="N16" s="419"/>
      <c r="O16" s="419"/>
      <c r="P16" s="419"/>
      <c r="Q16" s="373"/>
      <c r="R16" s="517"/>
      <c r="S16" s="517"/>
      <c r="T16" s="525" t="s">
        <v>418</v>
      </c>
      <c r="U16" s="517">
        <v>0.05</v>
      </c>
      <c r="V16" s="525" t="s">
        <v>416</v>
      </c>
      <c r="W16" s="517"/>
      <c r="X16" s="527" t="s">
        <v>341</v>
      </c>
      <c r="Y16" s="527"/>
      <c r="Z16" s="527"/>
      <c r="AA16" s="527"/>
      <c r="AB16" s="527" t="s">
        <v>344</v>
      </c>
      <c r="AC16" s="527" t="s">
        <v>341</v>
      </c>
      <c r="AD16" s="527"/>
      <c r="AE16" s="517"/>
      <c r="AF16" s="517"/>
      <c r="AG16" s="517"/>
      <c r="AH16" s="517"/>
      <c r="AI16" s="221"/>
      <c r="AJ16" s="221"/>
      <c r="AK16" s="221"/>
      <c r="AL16" s="221"/>
      <c r="AM16" s="221"/>
      <c r="AN16" s="221"/>
      <c r="AO16" s="221"/>
      <c r="AP16" s="221"/>
    </row>
    <row r="17" spans="1:42" ht="18.75" customHeight="1" x14ac:dyDescent="0.25">
      <c r="A17" s="223"/>
      <c r="B17" s="370">
        <v>3</v>
      </c>
      <c r="C17" s="371"/>
      <c r="D17" s="1160" t="s">
        <v>47</v>
      </c>
      <c r="E17" s="1161"/>
      <c r="F17" s="1161"/>
      <c r="G17" s="372"/>
      <c r="H17" s="252"/>
      <c r="I17" s="252"/>
      <c r="J17" s="253"/>
      <c r="K17" s="374"/>
      <c r="L17" s="375"/>
      <c r="M17" s="375"/>
      <c r="N17" s="375"/>
      <c r="O17" s="375"/>
      <c r="P17" s="375"/>
      <c r="Q17" s="373"/>
      <c r="R17" s="517"/>
      <c r="S17" s="517"/>
      <c r="T17" s="524">
        <v>0</v>
      </c>
      <c r="U17" s="517">
        <v>0</v>
      </c>
      <c r="V17" s="524">
        <v>0</v>
      </c>
      <c r="W17" s="517"/>
      <c r="X17" s="517"/>
      <c r="Y17" s="517"/>
      <c r="Z17" s="517"/>
      <c r="AA17" s="517"/>
      <c r="AB17" s="517"/>
      <c r="AC17" s="517"/>
      <c r="AD17" s="517"/>
      <c r="AE17" s="517"/>
      <c r="AF17" s="517"/>
      <c r="AG17" s="517"/>
      <c r="AH17" s="517"/>
      <c r="AI17" s="221"/>
      <c r="AJ17" s="221"/>
      <c r="AK17" s="221"/>
      <c r="AL17" s="221"/>
      <c r="AM17" s="221"/>
      <c r="AN17" s="221"/>
      <c r="AO17" s="221"/>
      <c r="AP17" s="221"/>
    </row>
    <row r="18" spans="1:42" ht="24" customHeight="1" x14ac:dyDescent="0.25">
      <c r="A18" s="223"/>
      <c r="B18" s="237"/>
      <c r="C18" s="238" t="s">
        <v>23</v>
      </c>
      <c r="D18" s="258" t="s">
        <v>2</v>
      </c>
      <c r="E18" s="238"/>
      <c r="F18" s="1162" t="s">
        <v>308</v>
      </c>
      <c r="G18" s="1163"/>
      <c r="H18" s="240"/>
      <c r="I18" s="240"/>
      <c r="J18" s="479"/>
      <c r="K18" s="418"/>
      <c r="L18" s="419"/>
      <c r="M18" s="419"/>
      <c r="N18" s="419"/>
      <c r="O18" s="419"/>
      <c r="P18" s="419"/>
      <c r="Q18" s="373"/>
      <c r="R18" s="517"/>
      <c r="S18" s="517"/>
      <c r="T18" s="517"/>
      <c r="U18" s="517"/>
      <c r="V18" s="517"/>
      <c r="W18" s="517"/>
      <c r="X18" s="517"/>
      <c r="Y18" s="517"/>
      <c r="Z18" s="517"/>
      <c r="AA18" s="517"/>
      <c r="AB18" s="517"/>
      <c r="AC18" s="517"/>
      <c r="AD18" s="517"/>
      <c r="AE18" s="517"/>
      <c r="AF18" s="517"/>
      <c r="AG18" s="517"/>
      <c r="AH18" s="517"/>
      <c r="AI18" s="221"/>
      <c r="AJ18" s="221"/>
      <c r="AK18" s="221"/>
      <c r="AL18" s="221"/>
      <c r="AM18" s="221"/>
      <c r="AN18" s="221"/>
      <c r="AO18" s="221"/>
      <c r="AP18" s="221"/>
    </row>
    <row r="19" spans="1:42" ht="24" customHeight="1" x14ac:dyDescent="0.25">
      <c r="A19" s="223"/>
      <c r="B19" s="237"/>
      <c r="C19" s="238" t="s">
        <v>39</v>
      </c>
      <c r="D19" s="258" t="s">
        <v>3</v>
      </c>
      <c r="E19" s="238"/>
      <c r="F19" s="1152" t="s">
        <v>309</v>
      </c>
      <c r="G19" s="1153"/>
      <c r="H19" s="240"/>
      <c r="I19" s="240"/>
      <c r="J19" s="479"/>
      <c r="K19" s="418"/>
      <c r="L19" s="419"/>
      <c r="M19" s="419"/>
      <c r="N19" s="419"/>
      <c r="O19" s="419"/>
      <c r="P19" s="419"/>
      <c r="Q19" s="373"/>
      <c r="R19" s="517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221"/>
      <c r="AJ19" s="221"/>
      <c r="AK19" s="221"/>
      <c r="AL19" s="221"/>
      <c r="AM19" s="221"/>
      <c r="AN19" s="221"/>
      <c r="AO19" s="221"/>
      <c r="AP19" s="221"/>
    </row>
    <row r="20" spans="1:42" ht="24" customHeight="1" x14ac:dyDescent="0.25">
      <c r="A20" s="223"/>
      <c r="B20" s="237"/>
      <c r="C20" s="238" t="s">
        <v>40</v>
      </c>
      <c r="D20" s="258" t="s">
        <v>320</v>
      </c>
      <c r="E20" s="238"/>
      <c r="F20" s="1154" t="s">
        <v>64</v>
      </c>
      <c r="G20" s="1155"/>
      <c r="H20" s="240"/>
      <c r="I20" s="240"/>
      <c r="J20" s="479"/>
      <c r="K20" s="418"/>
      <c r="L20" s="419"/>
      <c r="M20" s="419"/>
      <c r="N20" s="419"/>
      <c r="O20" s="419"/>
      <c r="P20" s="419"/>
      <c r="Q20" s="373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221"/>
      <c r="AJ20" s="221"/>
      <c r="AK20" s="221"/>
      <c r="AL20" s="221"/>
      <c r="AM20" s="221"/>
      <c r="AN20" s="221"/>
      <c r="AO20" s="221"/>
      <c r="AP20" s="221"/>
    </row>
    <row r="21" spans="1:42" ht="24" customHeight="1" x14ac:dyDescent="0.25">
      <c r="A21" s="223"/>
      <c r="B21" s="237"/>
      <c r="C21" s="238" t="s">
        <v>41</v>
      </c>
      <c r="D21" s="258" t="s">
        <v>340</v>
      </c>
      <c r="E21" s="238"/>
      <c r="F21" s="1156" t="s">
        <v>310</v>
      </c>
      <c r="G21" s="1157"/>
      <c r="H21" s="259"/>
      <c r="I21" s="259"/>
      <c r="J21" s="260"/>
      <c r="K21" s="420"/>
      <c r="L21" s="421"/>
      <c r="M21" s="421"/>
      <c r="N21" s="421"/>
      <c r="O21" s="421"/>
      <c r="P21" s="421"/>
      <c r="Q21" s="373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221"/>
      <c r="AJ21" s="221"/>
      <c r="AK21" s="221"/>
      <c r="AL21" s="221"/>
      <c r="AM21" s="221"/>
      <c r="AN21" s="221"/>
      <c r="AO21" s="221"/>
      <c r="AP21" s="221"/>
    </row>
    <row r="22" spans="1:42" ht="24" customHeight="1" x14ac:dyDescent="0.25">
      <c r="A22" s="223"/>
      <c r="B22" s="249"/>
      <c r="C22" s="238" t="s">
        <v>43</v>
      </c>
      <c r="D22" s="258" t="s">
        <v>44</v>
      </c>
      <c r="E22" s="238"/>
      <c r="F22" s="745" t="s">
        <v>345</v>
      </c>
      <c r="G22" s="724"/>
      <c r="H22" s="240"/>
      <c r="I22" s="240"/>
      <c r="J22" s="479"/>
      <c r="K22" s="418"/>
      <c r="L22" s="419"/>
      <c r="M22" s="419"/>
      <c r="N22" s="419"/>
      <c r="O22" s="419"/>
      <c r="P22" s="419"/>
      <c r="Q22" s="373"/>
      <c r="R22" s="517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221"/>
      <c r="AJ22" s="221"/>
      <c r="AK22" s="221"/>
      <c r="AL22" s="221"/>
      <c r="AM22" s="221"/>
      <c r="AN22" s="221"/>
      <c r="AO22" s="221"/>
      <c r="AP22" s="221"/>
    </row>
    <row r="23" spans="1:42" ht="30" customHeight="1" x14ac:dyDescent="0.25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373"/>
      <c r="M23" s="373"/>
      <c r="N23" s="373"/>
      <c r="O23" s="373"/>
      <c r="P23" s="373"/>
      <c r="Q23" s="373"/>
      <c r="R23" s="517"/>
      <c r="S23" s="517"/>
      <c r="T23" s="517"/>
      <c r="U23" s="517"/>
      <c r="V23" s="517"/>
      <c r="W23" s="517"/>
      <c r="X23" s="517"/>
      <c r="Y23" s="517"/>
      <c r="Z23" s="517"/>
      <c r="AA23" s="517"/>
      <c r="AB23" s="517"/>
      <c r="AC23" s="517"/>
      <c r="AD23" s="517"/>
      <c r="AE23" s="517"/>
      <c r="AF23" s="517"/>
      <c r="AG23" s="517"/>
      <c r="AH23" s="517"/>
      <c r="AI23" s="221"/>
      <c r="AJ23" s="221"/>
      <c r="AK23" s="221"/>
      <c r="AL23" s="221"/>
      <c r="AM23" s="221"/>
      <c r="AN23" s="221"/>
      <c r="AO23" s="221"/>
      <c r="AP23" s="221"/>
    </row>
    <row r="24" spans="1:42" ht="30" customHeight="1" x14ac:dyDescent="0.25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373"/>
      <c r="M24" s="373"/>
      <c r="N24" s="373"/>
      <c r="O24" s="373"/>
      <c r="P24" s="373"/>
      <c r="Q24" s="373"/>
      <c r="R24" s="517"/>
      <c r="S24" s="517"/>
      <c r="T24" s="517"/>
      <c r="U24" s="517"/>
      <c r="V24" s="517"/>
      <c r="W24" s="517"/>
      <c r="X24" s="517"/>
      <c r="Y24" s="517"/>
      <c r="Z24" s="517"/>
      <c r="AA24" s="517"/>
      <c r="AB24" s="517"/>
      <c r="AC24" s="517"/>
      <c r="AD24" s="517"/>
      <c r="AE24" s="517"/>
      <c r="AF24" s="517"/>
      <c r="AG24" s="517"/>
      <c r="AH24" s="517"/>
      <c r="AI24" s="221"/>
      <c r="AJ24" s="221"/>
      <c r="AK24" s="221"/>
      <c r="AL24" s="221"/>
      <c r="AM24" s="221"/>
      <c r="AN24" s="221"/>
      <c r="AO24" s="221"/>
      <c r="AP24" s="221"/>
    </row>
    <row r="25" spans="1:42" ht="30" customHeight="1" x14ac:dyDescent="0.25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373"/>
      <c r="M25" s="373"/>
      <c r="N25" s="373"/>
      <c r="O25" s="373"/>
      <c r="P25" s="373"/>
      <c r="Q25" s="373"/>
      <c r="R25" s="517"/>
      <c r="S25" s="517"/>
      <c r="T25" s="517"/>
      <c r="U25" s="517"/>
      <c r="V25" s="517"/>
      <c r="W25" s="517"/>
      <c r="X25" s="517"/>
      <c r="Y25" s="517"/>
      <c r="Z25" s="517"/>
      <c r="AA25" s="517"/>
      <c r="AB25" s="517"/>
      <c r="AC25" s="517"/>
      <c r="AD25" s="517"/>
      <c r="AE25" s="517"/>
      <c r="AF25" s="517"/>
      <c r="AG25" s="517"/>
      <c r="AH25" s="517"/>
      <c r="AI25" s="221"/>
      <c r="AJ25" s="221"/>
      <c r="AK25" s="221"/>
      <c r="AL25" s="221"/>
      <c r="AM25" s="221"/>
      <c r="AN25" s="221"/>
      <c r="AO25" s="221"/>
      <c r="AP25" s="221"/>
    </row>
    <row r="26" spans="1:42" ht="30" customHeight="1" x14ac:dyDescent="0.25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373"/>
      <c r="M26" s="373"/>
      <c r="N26" s="373"/>
      <c r="O26" s="373"/>
      <c r="P26" s="373"/>
      <c r="Q26" s="373"/>
      <c r="R26" s="517"/>
      <c r="S26" s="517"/>
      <c r="T26" s="517"/>
      <c r="U26" s="517"/>
      <c r="V26" s="517"/>
      <c r="W26" s="517"/>
      <c r="X26" s="517"/>
      <c r="Y26" s="517"/>
      <c r="Z26" s="517"/>
      <c r="AA26" s="517"/>
      <c r="AB26" s="517"/>
      <c r="AC26" s="517"/>
      <c r="AD26" s="517"/>
      <c r="AE26" s="517"/>
      <c r="AF26" s="517"/>
      <c r="AG26" s="517"/>
      <c r="AH26" s="517"/>
      <c r="AI26" s="221"/>
      <c r="AJ26" s="221"/>
      <c r="AK26" s="221"/>
      <c r="AL26" s="221"/>
      <c r="AM26" s="221"/>
      <c r="AN26" s="221"/>
      <c r="AO26" s="221"/>
      <c r="AP26" s="221"/>
    </row>
    <row r="27" spans="1:42" ht="30" customHeight="1" x14ac:dyDescent="0.25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</row>
    <row r="28" spans="1:42" ht="30" customHeight="1" x14ac:dyDescent="0.25">
      <c r="A28" s="222"/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</row>
    <row r="29" spans="1:42" ht="30" customHeight="1" x14ac:dyDescent="0.25">
      <c r="A29" s="222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</row>
    <row r="30" spans="1:42" ht="30" customHeight="1" x14ac:dyDescent="0.25">
      <c r="A30" s="222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</row>
    <row r="31" spans="1:42" ht="30" customHeight="1" x14ac:dyDescent="0.25"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</row>
    <row r="32" spans="1:42" ht="30" customHeight="1" x14ac:dyDescent="0.25"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</row>
    <row r="33" spans="18:42" ht="30" customHeight="1" x14ac:dyDescent="0.25"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</row>
    <row r="34" spans="18:42" ht="30" customHeight="1" x14ac:dyDescent="0.25"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</row>
    <row r="35" spans="18:42" ht="30" customHeight="1" x14ac:dyDescent="0.25"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</row>
    <row r="36" spans="18:42" ht="30" customHeight="1" x14ac:dyDescent="0.25"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</row>
    <row r="37" spans="18:42" ht="30" customHeight="1" x14ac:dyDescent="0.25"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</row>
    <row r="38" spans="18:42" ht="30" customHeight="1" x14ac:dyDescent="0.25"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</row>
    <row r="39" spans="18:42" ht="30" customHeight="1" x14ac:dyDescent="0.25"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</row>
    <row r="40" spans="18:42" ht="30" customHeight="1" x14ac:dyDescent="0.25"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</row>
    <row r="41" spans="18:42" ht="30" customHeight="1" x14ac:dyDescent="0.25"/>
    <row r="42" spans="18:42" ht="30" customHeight="1" x14ac:dyDescent="0.25"/>
    <row r="43" spans="18:42" ht="30" customHeight="1" x14ac:dyDescent="0.25"/>
    <row r="44" spans="18:42" ht="30" customHeight="1" x14ac:dyDescent="0.25"/>
    <row r="45" spans="18:42" ht="30" customHeight="1" x14ac:dyDescent="0.25"/>
    <row r="46" spans="18:42" ht="30" customHeight="1" x14ac:dyDescent="0.25"/>
  </sheetData>
  <sheetProtection algorithmName="SHA-512" hashValue="P2ODH+11punApgIuR2q62O11+NPn6Hb+28NodMoFfBpwGsLpOSyrwxf9ty14WXhirPosapsWGKpCxcEZCplsRA==" saltValue="Qq8xBth4F+0rF+xHTET1nw==" spinCount="100000" sheet="1" formatColumns="0" formatRows="0"/>
  <mergeCells count="16">
    <mergeCell ref="F19:G19"/>
    <mergeCell ref="F20:G20"/>
    <mergeCell ref="F21:G21"/>
    <mergeCell ref="F12:G12"/>
    <mergeCell ref="F13:G13"/>
    <mergeCell ref="F14:G14"/>
    <mergeCell ref="F16:G16"/>
    <mergeCell ref="D17:F17"/>
    <mergeCell ref="F18:G18"/>
    <mergeCell ref="D11:F11"/>
    <mergeCell ref="F8:G8"/>
    <mergeCell ref="B1:J1"/>
    <mergeCell ref="D5:F5"/>
    <mergeCell ref="F6:G6"/>
    <mergeCell ref="F7:G7"/>
    <mergeCell ref="F10:G10"/>
  </mergeCells>
  <dataValidations count="3">
    <dataValidation type="list" allowBlank="1" showInputMessage="1" showErrorMessage="1" sqref="G9" xr:uid="{00000000-0002-0000-0C00-000000000000}">
      <formula1>$V$8:$V$17</formula1>
    </dataValidation>
    <dataValidation type="list" allowBlank="1" showInputMessage="1" showErrorMessage="1" sqref="F14 F8 F20" xr:uid="{00000000-0002-0000-0C00-000001000000}">
      <formula1>$AB$7:$AB$16</formula1>
    </dataValidation>
    <dataValidation type="list" allowBlank="1" showInputMessage="1" showErrorMessage="1" promptTitle="Perhatian !" prompt="Pilih sesuai jabatan" sqref="G15" xr:uid="{00000000-0002-0000-0C00-000002000000}">
      <formula1>$V$8:$V$16</formula1>
    </dataValidation>
  </dataValidations>
  <pageMargins left="0.56000000000000005" right="0.23622047244094491" top="0.9055118110236221" bottom="0.74803149606299213" header="0.31496062992125984" footer="0.31496062992125984"/>
  <pageSetup paperSize="5" orientation="portrait" horizontalDpi="200" verticalDpi="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N74"/>
  <sheetViews>
    <sheetView topLeftCell="A7" zoomScale="90" zoomScaleNormal="90" workbookViewId="0">
      <selection activeCell="D59" sqref="D59"/>
    </sheetView>
  </sheetViews>
  <sheetFormatPr defaultColWidth="14.42578125" defaultRowHeight="15" customHeight="1" x14ac:dyDescent="0.2"/>
  <cols>
    <col min="1" max="1" width="5.28515625" style="818" customWidth="1"/>
    <col min="2" max="2" width="53.5703125" style="485" customWidth="1"/>
    <col min="3" max="3" width="61.42578125" style="485" customWidth="1"/>
    <col min="4" max="4" width="7.140625" style="485" customWidth="1"/>
    <col min="5" max="5" width="16.85546875" style="485" customWidth="1"/>
    <col min="6" max="14" width="8.7109375" style="484" customWidth="1"/>
    <col min="15" max="16384" width="14.42578125" style="484"/>
  </cols>
  <sheetData>
    <row r="1" spans="1:5" ht="15" customHeight="1" x14ac:dyDescent="0.2">
      <c r="A1" s="1103" t="s">
        <v>647</v>
      </c>
      <c r="B1" s="1103"/>
      <c r="C1" s="1103"/>
      <c r="D1" s="1103"/>
      <c r="E1" s="1103"/>
    </row>
    <row r="2" spans="1:5" ht="15" customHeight="1" x14ac:dyDescent="0.2">
      <c r="A2" s="1103" t="str">
        <f>UPPER('DATA SKP2'!F9&amp;" "&amp;'DATA SKP2'!F3)</f>
        <v>GURU PERTAMA MTS NEGERI 5 SLEMAN</v>
      </c>
      <c r="B2" s="1103"/>
      <c r="C2" s="1103"/>
      <c r="D2" s="1103"/>
      <c r="E2" s="1103"/>
    </row>
    <row r="3" spans="1:5" ht="15" customHeight="1" x14ac:dyDescent="0.2">
      <c r="B3" s="818"/>
    </row>
    <row r="4" spans="1:5" s="500" customFormat="1" ht="24" customHeight="1" x14ac:dyDescent="0.2">
      <c r="A4" s="499" t="s">
        <v>1</v>
      </c>
      <c r="B4" s="819" t="s">
        <v>351</v>
      </c>
      <c r="C4" s="819" t="s">
        <v>353</v>
      </c>
      <c r="D4" s="1113" t="s">
        <v>7</v>
      </c>
      <c r="E4" s="1165"/>
    </row>
    <row r="5" spans="1:5" x14ac:dyDescent="0.2">
      <c r="A5" s="501" t="s">
        <v>354</v>
      </c>
      <c r="B5" s="820" t="s">
        <v>355</v>
      </c>
      <c r="C5" s="820" t="s">
        <v>356</v>
      </c>
      <c r="D5" s="1116" t="s">
        <v>357</v>
      </c>
      <c r="E5" s="1164"/>
    </row>
    <row r="6" spans="1:5" x14ac:dyDescent="0.2">
      <c r="A6" s="1108" t="s">
        <v>360</v>
      </c>
      <c r="B6" s="1109"/>
      <c r="C6" s="1109"/>
      <c r="D6" s="1109"/>
      <c r="E6" s="1109"/>
    </row>
    <row r="7" spans="1:5" x14ac:dyDescent="0.2">
      <c r="A7" s="850" t="s">
        <v>114</v>
      </c>
      <c r="B7" s="854" t="s">
        <v>15</v>
      </c>
      <c r="C7" s="825"/>
      <c r="D7" s="825"/>
      <c r="E7" s="825"/>
    </row>
    <row r="8" spans="1:5" ht="30" customHeight="1" x14ac:dyDescent="0.2">
      <c r="A8" s="848">
        <v>1</v>
      </c>
      <c r="B8" s="849" t="s">
        <v>565</v>
      </c>
      <c r="C8" s="849" t="s">
        <v>427</v>
      </c>
      <c r="D8" s="849">
        <v>100</v>
      </c>
      <c r="E8" s="505" t="s">
        <v>566</v>
      </c>
    </row>
    <row r="9" spans="1:5" ht="30" customHeight="1" x14ac:dyDescent="0.2">
      <c r="A9" s="509" t="s">
        <v>648</v>
      </c>
      <c r="B9" s="824" t="s">
        <v>567</v>
      </c>
      <c r="C9" s="824" t="s">
        <v>429</v>
      </c>
      <c r="D9" s="824">
        <v>100</v>
      </c>
      <c r="E9" s="822" t="s">
        <v>566</v>
      </c>
    </row>
    <row r="10" spans="1:5" ht="30" customHeight="1" x14ac:dyDescent="0.2">
      <c r="A10" s="509" t="s">
        <v>648</v>
      </c>
      <c r="B10" s="824" t="s">
        <v>567</v>
      </c>
      <c r="C10" s="824" t="s">
        <v>430</v>
      </c>
      <c r="D10" s="824">
        <v>100</v>
      </c>
      <c r="E10" s="822" t="s">
        <v>566</v>
      </c>
    </row>
    <row r="11" spans="1:5" ht="30" customHeight="1" x14ac:dyDescent="0.2">
      <c r="A11" s="509">
        <v>2</v>
      </c>
      <c r="B11" s="824" t="s">
        <v>568</v>
      </c>
      <c r="C11" s="824" t="s">
        <v>431</v>
      </c>
      <c r="D11" s="824">
        <v>100</v>
      </c>
      <c r="E11" s="822" t="s">
        <v>566</v>
      </c>
    </row>
    <row r="12" spans="1:5" ht="30" customHeight="1" x14ac:dyDescent="0.2">
      <c r="A12" s="509">
        <v>3</v>
      </c>
      <c r="B12" s="824" t="s">
        <v>569</v>
      </c>
      <c r="C12" s="824" t="s">
        <v>434</v>
      </c>
      <c r="D12" s="824">
        <v>100</v>
      </c>
      <c r="E12" s="822" t="s">
        <v>566</v>
      </c>
    </row>
    <row r="13" spans="1:5" ht="30" customHeight="1" x14ac:dyDescent="0.2">
      <c r="A13" s="509" t="s">
        <v>649</v>
      </c>
      <c r="B13" s="824" t="s">
        <v>567</v>
      </c>
      <c r="C13" s="824" t="s">
        <v>435</v>
      </c>
      <c r="D13" s="824">
        <v>1</v>
      </c>
      <c r="E13" s="822" t="s">
        <v>570</v>
      </c>
    </row>
    <row r="14" spans="1:5" ht="30" customHeight="1" x14ac:dyDescent="0.2">
      <c r="A14" s="509" t="s">
        <v>650</v>
      </c>
      <c r="B14" s="824" t="s">
        <v>567</v>
      </c>
      <c r="C14" s="824" t="s">
        <v>437</v>
      </c>
      <c r="D14" s="824">
        <v>2</v>
      </c>
      <c r="E14" s="822" t="s">
        <v>571</v>
      </c>
    </row>
    <row r="15" spans="1:5" ht="30" customHeight="1" x14ac:dyDescent="0.2">
      <c r="A15" s="509" t="s">
        <v>651</v>
      </c>
      <c r="B15" s="824" t="s">
        <v>567</v>
      </c>
      <c r="C15" s="824" t="s">
        <v>439</v>
      </c>
      <c r="D15" s="824">
        <v>100</v>
      </c>
      <c r="E15" s="822" t="s">
        <v>566</v>
      </c>
    </row>
    <row r="16" spans="1:5" ht="30" customHeight="1" x14ac:dyDescent="0.2">
      <c r="A16" s="509">
        <v>4</v>
      </c>
      <c r="B16" s="824" t="s">
        <v>572</v>
      </c>
      <c r="C16" s="824" t="s">
        <v>440</v>
      </c>
      <c r="D16" s="824">
        <v>100</v>
      </c>
      <c r="E16" s="822" t="s">
        <v>566</v>
      </c>
    </row>
    <row r="17" spans="1:5" ht="45" customHeight="1" x14ac:dyDescent="0.2">
      <c r="A17" s="509" t="s">
        <v>652</v>
      </c>
      <c r="B17" s="824" t="s">
        <v>567</v>
      </c>
      <c r="C17" s="824" t="s">
        <v>441</v>
      </c>
      <c r="D17" s="824">
        <v>100</v>
      </c>
      <c r="E17" s="822" t="s">
        <v>566</v>
      </c>
    </row>
    <row r="18" spans="1:5" ht="30" customHeight="1" x14ac:dyDescent="0.2">
      <c r="A18" s="509">
        <v>5</v>
      </c>
      <c r="B18" s="824" t="s">
        <v>442</v>
      </c>
      <c r="C18" s="824" t="s">
        <v>573</v>
      </c>
      <c r="D18" s="824">
        <v>100</v>
      </c>
      <c r="E18" s="822" t="s">
        <v>574</v>
      </c>
    </row>
    <row r="19" spans="1:5" ht="30" customHeight="1" x14ac:dyDescent="0.2">
      <c r="A19" s="509">
        <v>6</v>
      </c>
      <c r="B19" s="824" t="s">
        <v>445</v>
      </c>
      <c r="C19" s="824" t="s">
        <v>446</v>
      </c>
      <c r="D19" s="824">
        <v>372</v>
      </c>
      <c r="E19" s="822" t="s">
        <v>575</v>
      </c>
    </row>
    <row r="20" spans="1:5" ht="30" customHeight="1" x14ac:dyDescent="0.2">
      <c r="A20" s="509" t="s">
        <v>653</v>
      </c>
      <c r="B20" s="824" t="s">
        <v>567</v>
      </c>
      <c r="C20" s="824" t="s">
        <v>448</v>
      </c>
      <c r="D20" s="824">
        <v>20</v>
      </c>
      <c r="E20" s="822" t="s">
        <v>566</v>
      </c>
    </row>
    <row r="21" spans="1:5" ht="30" customHeight="1" x14ac:dyDescent="0.2">
      <c r="A21" s="509">
        <v>7</v>
      </c>
      <c r="B21" s="824" t="s">
        <v>450</v>
      </c>
      <c r="C21" s="824" t="s">
        <v>451</v>
      </c>
      <c r="D21" s="824">
        <v>80</v>
      </c>
      <c r="E21" s="822" t="s">
        <v>566</v>
      </c>
    </row>
    <row r="22" spans="1:5" ht="45" customHeight="1" x14ac:dyDescent="0.2">
      <c r="A22" s="509" t="s">
        <v>654</v>
      </c>
      <c r="B22" s="824" t="s">
        <v>567</v>
      </c>
      <c r="C22" s="824" t="s">
        <v>453</v>
      </c>
      <c r="D22" s="824">
        <v>80</v>
      </c>
      <c r="E22" s="822" t="s">
        <v>566</v>
      </c>
    </row>
    <row r="23" spans="1:5" ht="33.950000000000003" customHeight="1" x14ac:dyDescent="0.2">
      <c r="A23" s="509" t="s">
        <v>655</v>
      </c>
      <c r="B23" s="824" t="s">
        <v>567</v>
      </c>
      <c r="C23" s="824" t="s">
        <v>454</v>
      </c>
      <c r="D23" s="824">
        <v>100</v>
      </c>
      <c r="E23" s="822" t="s">
        <v>566</v>
      </c>
    </row>
    <row r="24" spans="1:5" ht="30" customHeight="1" x14ac:dyDescent="0.2">
      <c r="A24" s="509">
        <v>8</v>
      </c>
      <c r="B24" s="824" t="s">
        <v>455</v>
      </c>
      <c r="C24" s="824" t="s">
        <v>456</v>
      </c>
      <c r="D24" s="824">
        <v>88</v>
      </c>
      <c r="E24" s="822" t="s">
        <v>566</v>
      </c>
    </row>
    <row r="25" spans="1:5" ht="20.45" customHeight="1" x14ac:dyDescent="0.2">
      <c r="A25" s="509">
        <v>9</v>
      </c>
      <c r="B25" s="824" t="s">
        <v>458</v>
      </c>
      <c r="C25" s="824" t="s">
        <v>459</v>
      </c>
      <c r="D25" s="824">
        <v>100</v>
      </c>
      <c r="E25" s="822" t="s">
        <v>566</v>
      </c>
    </row>
    <row r="26" spans="1:5" ht="30" customHeight="1" x14ac:dyDescent="0.2">
      <c r="A26" s="509" t="s">
        <v>656</v>
      </c>
      <c r="B26" s="824" t="s">
        <v>567</v>
      </c>
      <c r="C26" s="824" t="s">
        <v>460</v>
      </c>
      <c r="D26" s="824">
        <v>10</v>
      </c>
      <c r="E26" s="822" t="s">
        <v>566</v>
      </c>
    </row>
    <row r="27" spans="1:5" ht="43.5" customHeight="1" x14ac:dyDescent="0.2">
      <c r="A27" s="509">
        <v>10</v>
      </c>
      <c r="B27" s="824" t="s">
        <v>462</v>
      </c>
      <c r="C27" s="824" t="s">
        <v>463</v>
      </c>
      <c r="D27" s="824">
        <v>100</v>
      </c>
      <c r="E27" s="822" t="s">
        <v>566</v>
      </c>
    </row>
    <row r="28" spans="1:5" ht="20.45" customHeight="1" x14ac:dyDescent="0.2">
      <c r="A28" s="509" t="s">
        <v>657</v>
      </c>
      <c r="B28" s="824" t="s">
        <v>567</v>
      </c>
      <c r="C28" s="824" t="s">
        <v>464</v>
      </c>
      <c r="D28" s="824">
        <v>100</v>
      </c>
      <c r="E28" s="822" t="s">
        <v>566</v>
      </c>
    </row>
    <row r="29" spans="1:5" ht="36.950000000000003" customHeight="1" x14ac:dyDescent="0.2">
      <c r="A29" s="509">
        <v>11</v>
      </c>
      <c r="B29" s="824" t="s">
        <v>465</v>
      </c>
      <c r="C29" s="824" t="s">
        <v>466</v>
      </c>
      <c r="D29" s="824">
        <v>1</v>
      </c>
      <c r="E29" s="822" t="s">
        <v>576</v>
      </c>
    </row>
    <row r="30" spans="1:5" ht="20.100000000000001" customHeight="1" x14ac:dyDescent="0.2">
      <c r="A30" s="509" t="s">
        <v>658</v>
      </c>
      <c r="B30" s="824" t="s">
        <v>567</v>
      </c>
      <c r="C30" s="824" t="s">
        <v>468</v>
      </c>
      <c r="D30" s="824">
        <v>1</v>
      </c>
      <c r="E30" s="822" t="s">
        <v>577</v>
      </c>
    </row>
    <row r="31" spans="1:5" ht="30" customHeight="1" x14ac:dyDescent="0.2">
      <c r="A31" s="509">
        <v>12</v>
      </c>
      <c r="B31" s="824" t="s">
        <v>470</v>
      </c>
      <c r="C31" s="824" t="s">
        <v>471</v>
      </c>
      <c r="D31" s="824">
        <v>100</v>
      </c>
      <c r="E31" s="822" t="s">
        <v>566</v>
      </c>
    </row>
    <row r="32" spans="1:5" ht="36" customHeight="1" x14ac:dyDescent="0.2">
      <c r="A32" s="509" t="s">
        <v>659</v>
      </c>
      <c r="B32" s="824" t="s">
        <v>567</v>
      </c>
      <c r="C32" s="824" t="s">
        <v>472</v>
      </c>
      <c r="D32" s="824">
        <v>100</v>
      </c>
      <c r="E32" s="822" t="s">
        <v>566</v>
      </c>
    </row>
    <row r="33" spans="1:5" ht="30" customHeight="1" x14ac:dyDescent="0.2">
      <c r="A33" s="509" t="s">
        <v>660</v>
      </c>
      <c r="B33" s="824" t="s">
        <v>567</v>
      </c>
      <c r="C33" s="824" t="s">
        <v>473</v>
      </c>
      <c r="D33" s="824">
        <v>80</v>
      </c>
      <c r="E33" s="822" t="s">
        <v>566</v>
      </c>
    </row>
    <row r="34" spans="1:5" ht="20.100000000000001" customHeight="1" x14ac:dyDescent="0.2">
      <c r="A34" s="509" t="s">
        <v>661</v>
      </c>
      <c r="B34" s="824" t="s">
        <v>567</v>
      </c>
      <c r="C34" s="824" t="s">
        <v>474</v>
      </c>
      <c r="D34" s="824">
        <v>100</v>
      </c>
      <c r="E34" s="822" t="s">
        <v>566</v>
      </c>
    </row>
    <row r="35" spans="1:5" ht="30" customHeight="1" x14ac:dyDescent="0.2">
      <c r="A35" s="509">
        <v>13</v>
      </c>
      <c r="B35" s="824" t="s">
        <v>475</v>
      </c>
      <c r="C35" s="824" t="s">
        <v>476</v>
      </c>
      <c r="D35" s="824">
        <v>100</v>
      </c>
      <c r="E35" s="822" t="s">
        <v>566</v>
      </c>
    </row>
    <row r="36" spans="1:5" ht="19.5" customHeight="1" x14ac:dyDescent="0.2">
      <c r="A36" s="509" t="s">
        <v>662</v>
      </c>
      <c r="B36" s="824" t="s">
        <v>567</v>
      </c>
      <c r="C36" s="824" t="s">
        <v>477</v>
      </c>
      <c r="D36" s="824">
        <v>90</v>
      </c>
      <c r="E36" s="822" t="s">
        <v>566</v>
      </c>
    </row>
    <row r="37" spans="1:5" ht="30" customHeight="1" x14ac:dyDescent="0.2">
      <c r="A37" s="509" t="s">
        <v>663</v>
      </c>
      <c r="B37" s="824" t="s">
        <v>567</v>
      </c>
      <c r="C37" s="824" t="s">
        <v>479</v>
      </c>
      <c r="D37" s="824">
        <v>100</v>
      </c>
      <c r="E37" s="822" t="s">
        <v>566</v>
      </c>
    </row>
    <row r="38" spans="1:5" ht="30" customHeight="1" x14ac:dyDescent="0.2">
      <c r="A38" s="509">
        <v>14</v>
      </c>
      <c r="B38" s="824" t="s">
        <v>480</v>
      </c>
      <c r="C38" s="824" t="s">
        <v>481</v>
      </c>
      <c r="D38" s="824">
        <v>80</v>
      </c>
      <c r="E38" s="822" t="s">
        <v>566</v>
      </c>
    </row>
    <row r="39" spans="1:5" ht="18" customHeight="1" x14ac:dyDescent="0.2">
      <c r="A39" s="509" t="s">
        <v>664</v>
      </c>
      <c r="B39" s="824" t="s">
        <v>567</v>
      </c>
      <c r="C39" s="824" t="s">
        <v>482</v>
      </c>
      <c r="D39" s="824">
        <v>100</v>
      </c>
      <c r="E39" s="822" t="s">
        <v>566</v>
      </c>
    </row>
    <row r="40" spans="1:5" ht="16.5" customHeight="1" x14ac:dyDescent="0.2">
      <c r="A40" s="509" t="s">
        <v>665</v>
      </c>
      <c r="B40" s="824" t="s">
        <v>567</v>
      </c>
      <c r="C40" s="824" t="s">
        <v>483</v>
      </c>
      <c r="D40" s="824">
        <v>80</v>
      </c>
      <c r="E40" s="822" t="s">
        <v>566</v>
      </c>
    </row>
    <row r="41" spans="1:5" ht="30" customHeight="1" x14ac:dyDescent="0.2">
      <c r="A41" s="509">
        <v>15</v>
      </c>
      <c r="B41" s="824" t="s">
        <v>484</v>
      </c>
      <c r="C41" s="824" t="s">
        <v>485</v>
      </c>
      <c r="D41" s="824">
        <v>100</v>
      </c>
      <c r="E41" s="822" t="s">
        <v>566</v>
      </c>
    </row>
    <row r="42" spans="1:5" ht="19.5" customHeight="1" x14ac:dyDescent="0.2">
      <c r="A42" s="509" t="s">
        <v>666</v>
      </c>
      <c r="B42" s="824" t="s">
        <v>567</v>
      </c>
      <c r="C42" s="824" t="s">
        <v>486</v>
      </c>
      <c r="D42" s="824">
        <v>100</v>
      </c>
      <c r="E42" s="822" t="s">
        <v>566</v>
      </c>
    </row>
    <row r="43" spans="1:5" ht="17.100000000000001" customHeight="1" x14ac:dyDescent="0.2">
      <c r="A43" s="509" t="s">
        <v>667</v>
      </c>
      <c r="B43" s="824" t="s">
        <v>567</v>
      </c>
      <c r="C43" s="824" t="s">
        <v>487</v>
      </c>
      <c r="D43" s="824">
        <v>80</v>
      </c>
      <c r="E43" s="822" t="s">
        <v>566</v>
      </c>
    </row>
    <row r="44" spans="1:5" ht="30" customHeight="1" x14ac:dyDescent="0.2">
      <c r="A44" s="509">
        <v>16</v>
      </c>
      <c r="B44" s="824" t="s">
        <v>488</v>
      </c>
      <c r="C44" s="824" t="s">
        <v>489</v>
      </c>
      <c r="D44" s="824">
        <v>100</v>
      </c>
      <c r="E44" s="822" t="s">
        <v>566</v>
      </c>
    </row>
    <row r="45" spans="1:5" ht="30" customHeight="1" x14ac:dyDescent="0.2">
      <c r="A45" s="509" t="s">
        <v>668</v>
      </c>
      <c r="B45" s="824" t="s">
        <v>567</v>
      </c>
      <c r="C45" s="824" t="s">
        <v>490</v>
      </c>
      <c r="D45" s="824">
        <v>3</v>
      </c>
      <c r="E45" s="822" t="s">
        <v>578</v>
      </c>
    </row>
    <row r="46" spans="1:5" ht="20.100000000000001" customHeight="1" x14ac:dyDescent="0.2">
      <c r="A46" s="509">
        <v>17</v>
      </c>
      <c r="B46" s="824" t="s">
        <v>492</v>
      </c>
      <c r="C46" s="824" t="s">
        <v>493</v>
      </c>
      <c r="D46" s="824">
        <v>100</v>
      </c>
      <c r="E46" s="822" t="s">
        <v>566</v>
      </c>
    </row>
    <row r="47" spans="1:5" ht="18.95" customHeight="1" x14ac:dyDescent="0.2">
      <c r="A47" s="509" t="s">
        <v>669</v>
      </c>
      <c r="B47" s="824" t="s">
        <v>567</v>
      </c>
      <c r="C47" s="824" t="s">
        <v>494</v>
      </c>
      <c r="D47" s="824">
        <v>65</v>
      </c>
      <c r="E47" s="822" t="s">
        <v>566</v>
      </c>
    </row>
    <row r="48" spans="1:5" ht="18.95" customHeight="1" x14ac:dyDescent="0.2">
      <c r="A48" s="509" t="s">
        <v>670</v>
      </c>
      <c r="B48" s="824" t="s">
        <v>567</v>
      </c>
      <c r="C48" s="824" t="s">
        <v>496</v>
      </c>
      <c r="D48" s="824">
        <v>100</v>
      </c>
      <c r="E48" s="822" t="s">
        <v>566</v>
      </c>
    </row>
    <row r="49" spans="1:5" ht="30" customHeight="1" x14ac:dyDescent="0.2">
      <c r="A49" s="509">
        <v>18</v>
      </c>
      <c r="B49" s="824" t="s">
        <v>497</v>
      </c>
      <c r="C49" s="824" t="s">
        <v>498</v>
      </c>
      <c r="D49" s="824">
        <v>90</v>
      </c>
      <c r="E49" s="822" t="s">
        <v>566</v>
      </c>
    </row>
    <row r="50" spans="1:5" ht="18.600000000000001" customHeight="1" x14ac:dyDescent="0.2">
      <c r="A50" s="509">
        <v>19</v>
      </c>
      <c r="B50" s="824" t="s">
        <v>499</v>
      </c>
      <c r="C50" s="824" t="s">
        <v>500</v>
      </c>
      <c r="D50" s="824">
        <v>95</v>
      </c>
      <c r="E50" s="822" t="s">
        <v>566</v>
      </c>
    </row>
    <row r="51" spans="1:5" ht="30" customHeight="1" x14ac:dyDescent="0.2">
      <c r="A51" s="509">
        <v>20</v>
      </c>
      <c r="B51" s="824" t="s">
        <v>502</v>
      </c>
      <c r="C51" s="824" t="s">
        <v>503</v>
      </c>
      <c r="D51" s="824">
        <v>90</v>
      </c>
      <c r="E51" s="822" t="s">
        <v>566</v>
      </c>
    </row>
    <row r="52" spans="1:5" ht="20.45" customHeight="1" x14ac:dyDescent="0.2">
      <c r="A52" s="509" t="s">
        <v>671</v>
      </c>
      <c r="B52" s="824" t="s">
        <v>567</v>
      </c>
      <c r="C52" s="824" t="s">
        <v>505</v>
      </c>
      <c r="D52" s="824">
        <v>95</v>
      </c>
      <c r="E52" s="822" t="s">
        <v>566</v>
      </c>
    </row>
    <row r="53" spans="1:5" ht="20.45" customHeight="1" x14ac:dyDescent="0.2">
      <c r="A53" s="509" t="s">
        <v>672</v>
      </c>
      <c r="B53" s="824" t="s">
        <v>567</v>
      </c>
      <c r="C53" s="824" t="s">
        <v>506</v>
      </c>
      <c r="D53" s="824">
        <v>70</v>
      </c>
      <c r="E53" s="822" t="s">
        <v>566</v>
      </c>
    </row>
    <row r="54" spans="1:5" ht="18" customHeight="1" x14ac:dyDescent="0.2">
      <c r="A54" s="509">
        <v>21</v>
      </c>
      <c r="B54" s="824" t="s">
        <v>508</v>
      </c>
      <c r="C54" s="824" t="s">
        <v>509</v>
      </c>
      <c r="D54" s="824">
        <v>90</v>
      </c>
      <c r="E54" s="822" t="s">
        <v>566</v>
      </c>
    </row>
    <row r="55" spans="1:5" ht="30" customHeight="1" x14ac:dyDescent="0.2">
      <c r="A55" s="509">
        <v>22</v>
      </c>
      <c r="B55" s="824" t="s">
        <v>510</v>
      </c>
      <c r="C55" s="824" t="s">
        <v>511</v>
      </c>
      <c r="D55" s="824">
        <v>12</v>
      </c>
      <c r="E55" s="822" t="s">
        <v>579</v>
      </c>
    </row>
    <row r="56" spans="1:5" ht="30" customHeight="1" x14ac:dyDescent="0.2">
      <c r="A56" s="509" t="s">
        <v>673</v>
      </c>
      <c r="B56" s="824" t="s">
        <v>567</v>
      </c>
      <c r="C56" s="824" t="s">
        <v>513</v>
      </c>
      <c r="D56" s="824">
        <v>100</v>
      </c>
      <c r="E56" s="822" t="s">
        <v>566</v>
      </c>
    </row>
    <row r="57" spans="1:5" ht="20.45" customHeight="1" x14ac:dyDescent="0.2">
      <c r="A57" s="509">
        <v>23</v>
      </c>
      <c r="B57" s="824" t="s">
        <v>514</v>
      </c>
      <c r="C57" s="824" t="s">
        <v>515</v>
      </c>
      <c r="D57" s="824">
        <v>1</v>
      </c>
      <c r="E57" s="822" t="s">
        <v>580</v>
      </c>
    </row>
    <row r="58" spans="1:5" ht="18.600000000000001" customHeight="1" x14ac:dyDescent="0.2">
      <c r="A58" s="509" t="s">
        <v>674</v>
      </c>
      <c r="B58" s="824" t="s">
        <v>567</v>
      </c>
      <c r="C58" s="824" t="s">
        <v>517</v>
      </c>
      <c r="D58" s="824">
        <v>80</v>
      </c>
      <c r="E58" s="822" t="s">
        <v>566</v>
      </c>
    </row>
    <row r="59" spans="1:5" ht="30" customHeight="1" x14ac:dyDescent="0.2">
      <c r="A59" s="509">
        <v>24</v>
      </c>
      <c r="B59" s="824" t="s">
        <v>518</v>
      </c>
      <c r="C59" s="824" t="s">
        <v>519</v>
      </c>
      <c r="D59" s="824">
        <v>33</v>
      </c>
      <c r="E59" s="822" t="s">
        <v>578</v>
      </c>
    </row>
    <row r="60" spans="1:5" ht="30" customHeight="1" x14ac:dyDescent="0.2">
      <c r="A60" s="509">
        <v>25</v>
      </c>
      <c r="B60" s="824" t="s">
        <v>581</v>
      </c>
      <c r="C60" s="824" t="s">
        <v>582</v>
      </c>
      <c r="D60" s="824">
        <v>80</v>
      </c>
      <c r="E60" s="822" t="s">
        <v>566</v>
      </c>
    </row>
    <row r="61" spans="1:5" ht="45" customHeight="1" x14ac:dyDescent="0.2">
      <c r="A61" s="509">
        <v>26</v>
      </c>
      <c r="B61" s="824" t="s">
        <v>583</v>
      </c>
      <c r="C61" s="824" t="s">
        <v>584</v>
      </c>
      <c r="D61" s="824">
        <v>80</v>
      </c>
      <c r="E61" s="822" t="s">
        <v>566</v>
      </c>
    </row>
    <row r="62" spans="1:5" ht="33" customHeight="1" x14ac:dyDescent="0.2">
      <c r="A62" s="509" t="s">
        <v>675</v>
      </c>
      <c r="B62" s="824" t="s">
        <v>585</v>
      </c>
      <c r="C62" s="821" t="s">
        <v>586</v>
      </c>
      <c r="D62" s="823">
        <v>6</v>
      </c>
      <c r="E62" s="822" t="s">
        <v>202</v>
      </c>
    </row>
    <row r="63" spans="1:5" ht="15.75" customHeight="1" x14ac:dyDescent="0.2">
      <c r="A63" s="509"/>
      <c r="B63" s="821"/>
      <c r="C63" s="821"/>
      <c r="D63" s="1123"/>
      <c r="E63" s="1117"/>
    </row>
    <row r="64" spans="1:5" ht="15.75" customHeight="1" x14ac:dyDescent="0.2"/>
    <row r="65" spans="1:14" ht="15.75" customHeight="1" x14ac:dyDescent="0.2"/>
    <row r="66" spans="1:14" ht="15.75" customHeight="1" x14ac:dyDescent="0.2">
      <c r="B66" s="485" t="s">
        <v>522</v>
      </c>
    </row>
    <row r="67" spans="1:14" ht="15.75" customHeight="1" x14ac:dyDescent="0.2"/>
    <row r="68" spans="1:14" ht="15.75" customHeight="1" x14ac:dyDescent="0.2"/>
    <row r="69" spans="1:14" ht="15.75" customHeight="1" x14ac:dyDescent="0.2"/>
    <row r="70" spans="1:14" ht="15.75" customHeight="1" x14ac:dyDescent="0.2"/>
    <row r="71" spans="1:14" s="485" customFormat="1" ht="15.75" customHeight="1" x14ac:dyDescent="0.2">
      <c r="A71" s="818"/>
      <c r="B71" s="485" t="str">
        <f>'DATA SKP2'!F6</f>
        <v>Sirajudin, S.Pd</v>
      </c>
      <c r="F71" s="484"/>
      <c r="G71" s="484"/>
      <c r="H71" s="484"/>
      <c r="I71" s="484"/>
      <c r="J71" s="484"/>
      <c r="K71" s="484"/>
      <c r="L71" s="484"/>
      <c r="M71" s="484"/>
      <c r="N71" s="484"/>
    </row>
    <row r="72" spans="1:14" s="485" customFormat="1" ht="15.75" customHeight="1" x14ac:dyDescent="0.2">
      <c r="A72" s="818"/>
      <c r="B72" s="485" t="str">
        <f>"NIP. "&amp;'DATA SKP2'!F7</f>
        <v>NIP. 19730115 200710 1 001</v>
      </c>
      <c r="F72" s="484"/>
      <c r="G72" s="484"/>
      <c r="H72" s="484"/>
      <c r="I72" s="484"/>
      <c r="J72" s="484"/>
      <c r="K72" s="484"/>
      <c r="L72" s="484"/>
      <c r="M72" s="484"/>
      <c r="N72" s="484"/>
    </row>
    <row r="73" spans="1:14" s="485" customFormat="1" ht="15.75" customHeight="1" x14ac:dyDescent="0.2">
      <c r="A73" s="818"/>
      <c r="F73" s="484"/>
      <c r="G73" s="484"/>
      <c r="H73" s="484"/>
      <c r="I73" s="484"/>
      <c r="J73" s="484"/>
      <c r="K73" s="484"/>
      <c r="L73" s="484"/>
      <c r="M73" s="484"/>
      <c r="N73" s="484"/>
    </row>
    <row r="74" spans="1:14" s="485" customFormat="1" ht="15.75" customHeight="1" x14ac:dyDescent="0.2">
      <c r="A74" s="818"/>
      <c r="F74" s="484"/>
      <c r="G74" s="484"/>
      <c r="H74" s="484"/>
      <c r="I74" s="484"/>
      <c r="J74" s="484"/>
      <c r="K74" s="484"/>
      <c r="L74" s="484"/>
      <c r="M74" s="484"/>
      <c r="N74" s="484"/>
    </row>
  </sheetData>
  <sheetProtection formatCells="0" formatColumns="0" formatRows="0"/>
  <mergeCells count="6">
    <mergeCell ref="D63:E63"/>
    <mergeCell ref="D5:E5"/>
    <mergeCell ref="D4:E4"/>
    <mergeCell ref="A6:E6"/>
    <mergeCell ref="A1:E1"/>
    <mergeCell ref="A2:E2"/>
  </mergeCells>
  <phoneticPr fontId="102" type="noConversion"/>
  <pageMargins left="0.51181102362204722" right="0.51181102362204722" top="0.74803149606299213" bottom="0.51181102362204722" header="0" footer="0"/>
  <pageSetup paperSize="9" scale="86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Q84"/>
  <sheetViews>
    <sheetView zoomScale="90" zoomScaleNormal="90" workbookViewId="0">
      <selection sqref="A1:Q1"/>
    </sheetView>
  </sheetViews>
  <sheetFormatPr defaultColWidth="14.42578125" defaultRowHeight="15" customHeight="1" x14ac:dyDescent="0.2"/>
  <cols>
    <col min="1" max="1" width="5.28515625" style="725" customWidth="1"/>
    <col min="2" max="2" width="23.5703125" style="485" customWidth="1"/>
    <col min="3" max="3" width="2.42578125" style="485" customWidth="1"/>
    <col min="4" max="4" width="25.85546875" style="485" customWidth="1"/>
    <col min="5" max="7" width="8.7109375" style="485" customWidth="1"/>
    <col min="8" max="8" width="24.5703125" style="485" customWidth="1"/>
    <col min="9" max="9" width="4.5703125" style="485" customWidth="1"/>
    <col min="10" max="17" width="7" style="485" customWidth="1"/>
    <col min="18" max="26" width="8.7109375" style="484" customWidth="1"/>
    <col min="27" max="16384" width="14.42578125" style="484"/>
  </cols>
  <sheetData>
    <row r="1" spans="1:17" ht="15" customHeight="1" x14ac:dyDescent="0.2">
      <c r="A1" s="1103" t="s">
        <v>553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/>
      <c r="L1" s="1103"/>
      <c r="M1" s="1103"/>
      <c r="N1" s="1103"/>
      <c r="O1" s="1103"/>
      <c r="P1" s="1103"/>
      <c r="Q1" s="1103"/>
    </row>
    <row r="2" spans="1:17" ht="15" customHeight="1" x14ac:dyDescent="0.2">
      <c r="A2" s="1103" t="s">
        <v>680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  <c r="O2" s="1103"/>
      <c r="P2" s="1103"/>
      <c r="Q2" s="1103"/>
    </row>
    <row r="3" spans="1:17" ht="15" customHeight="1" x14ac:dyDescent="0.2">
      <c r="B3" s="725"/>
    </row>
    <row r="4" spans="1:17" ht="15" customHeight="1" x14ac:dyDescent="0.2">
      <c r="B4" s="725"/>
      <c r="J4" s="485" t="s">
        <v>419</v>
      </c>
    </row>
    <row r="5" spans="1:17" ht="15" customHeight="1" x14ac:dyDescent="0.2">
      <c r="B5" s="485" t="s">
        <v>420</v>
      </c>
      <c r="C5" s="485" t="s">
        <v>16</v>
      </c>
      <c r="D5" s="1104" t="str">
        <f>'DATA SKP2'!F10</f>
        <v>MTs Negeri 5 Sleman</v>
      </c>
      <c r="E5" s="1104"/>
      <c r="F5" s="1104"/>
      <c r="G5" s="1104"/>
      <c r="J5" s="485" t="str">
        <f>'DATA SKP2'!F4</f>
        <v>01 Juli s.d. 31 Desember 2021</v>
      </c>
    </row>
    <row r="6" spans="1:17" ht="15" customHeight="1" x14ac:dyDescent="0.2">
      <c r="D6" s="486"/>
      <c r="E6" s="486"/>
      <c r="F6" s="486"/>
      <c r="G6" s="486"/>
      <c r="J6" s="487"/>
    </row>
    <row r="7" spans="1:17" ht="15" customHeight="1" x14ac:dyDescent="0.2">
      <c r="A7" s="1105" t="s">
        <v>85</v>
      </c>
      <c r="B7" s="1106"/>
      <c r="C7" s="1106"/>
      <c r="D7" s="1106"/>
      <c r="E7" s="1106"/>
      <c r="F7" s="1106"/>
      <c r="G7" s="1107"/>
      <c r="H7" s="1105" t="s">
        <v>86</v>
      </c>
      <c r="I7" s="1106"/>
      <c r="J7" s="1106"/>
      <c r="K7" s="1106"/>
      <c r="L7" s="1106"/>
      <c r="M7" s="1106"/>
      <c r="N7" s="1106"/>
      <c r="O7" s="1106"/>
      <c r="P7" s="1106"/>
      <c r="Q7" s="1107"/>
    </row>
    <row r="8" spans="1:17" ht="15" customHeight="1" x14ac:dyDescent="0.2">
      <c r="A8" s="1170" t="s">
        <v>2</v>
      </c>
      <c r="B8" s="1171"/>
      <c r="C8" s="490" t="s">
        <v>16</v>
      </c>
      <c r="D8" s="491" t="str">
        <f>'DATA SKP2'!F12</f>
        <v>Drs. Busyroni Majid, M.Si</v>
      </c>
      <c r="E8" s="492"/>
      <c r="F8" s="492"/>
      <c r="G8" s="493"/>
      <c r="H8" s="494" t="s">
        <v>2</v>
      </c>
      <c r="I8" s="490" t="s">
        <v>16</v>
      </c>
      <c r="J8" s="713" t="s">
        <v>564</v>
      </c>
      <c r="K8" s="495"/>
      <c r="L8" s="495"/>
      <c r="M8" s="495"/>
      <c r="N8" s="495"/>
      <c r="O8" s="495"/>
      <c r="P8" s="495"/>
      <c r="Q8" s="496"/>
    </row>
    <row r="9" spans="1:17" ht="15" customHeight="1" x14ac:dyDescent="0.2">
      <c r="A9" s="1170" t="s">
        <v>3</v>
      </c>
      <c r="B9" s="1171"/>
      <c r="C9" s="490" t="s">
        <v>16</v>
      </c>
      <c r="D9" s="491" t="str">
        <f>'DATA SKP2'!F13</f>
        <v>19690921 199503 1 001</v>
      </c>
      <c r="E9" s="492"/>
      <c r="F9" s="492"/>
      <c r="G9" s="493"/>
      <c r="H9" s="494" t="s">
        <v>3</v>
      </c>
      <c r="I9" s="490" t="s">
        <v>16</v>
      </c>
      <c r="J9" s="713" t="s">
        <v>309</v>
      </c>
      <c r="K9" s="495"/>
      <c r="L9" s="495"/>
      <c r="M9" s="495"/>
      <c r="N9" s="495"/>
      <c r="O9" s="495"/>
      <c r="P9" s="495"/>
      <c r="Q9" s="496"/>
    </row>
    <row r="10" spans="1:17" ht="15" customHeight="1" x14ac:dyDescent="0.2">
      <c r="A10" s="1170" t="s">
        <v>106</v>
      </c>
      <c r="B10" s="1171"/>
      <c r="C10" s="490" t="s">
        <v>16</v>
      </c>
      <c r="D10" s="491" t="str">
        <f>'DATA SKP2'!F14</f>
        <v>Pembina, Gol. IV/a</v>
      </c>
      <c r="E10" s="492"/>
      <c r="F10" s="492"/>
      <c r="G10" s="493"/>
      <c r="H10" s="494" t="s">
        <v>106</v>
      </c>
      <c r="I10" s="490" t="s">
        <v>16</v>
      </c>
      <c r="J10" s="713" t="s">
        <v>424</v>
      </c>
      <c r="K10" s="495"/>
      <c r="L10" s="495"/>
      <c r="M10" s="495"/>
      <c r="N10" s="495"/>
      <c r="O10" s="495"/>
      <c r="P10" s="495"/>
      <c r="Q10" s="496"/>
    </row>
    <row r="11" spans="1:17" ht="15" customHeight="1" x14ac:dyDescent="0.2">
      <c r="A11" s="1170" t="s">
        <v>4</v>
      </c>
      <c r="B11" s="1171"/>
      <c r="C11" s="490" t="s">
        <v>16</v>
      </c>
      <c r="D11" s="491" t="str">
        <f>'DATA SKP2'!G15</f>
        <v>Kepala Madrasah</v>
      </c>
      <c r="E11" s="492"/>
      <c r="F11" s="492"/>
      <c r="G11" s="493"/>
      <c r="H11" s="494" t="s">
        <v>4</v>
      </c>
      <c r="I11" s="490" t="s">
        <v>16</v>
      </c>
      <c r="J11" s="713" t="s">
        <v>310</v>
      </c>
      <c r="K11" s="495"/>
      <c r="L11" s="495"/>
      <c r="M11" s="495"/>
      <c r="N11" s="495"/>
      <c r="O11" s="495"/>
      <c r="P11" s="495"/>
      <c r="Q11" s="496"/>
    </row>
    <row r="12" spans="1:17" ht="15" customHeight="1" x14ac:dyDescent="0.2">
      <c r="A12" s="1170" t="s">
        <v>5</v>
      </c>
      <c r="B12" s="1171"/>
      <c r="C12" s="490" t="s">
        <v>16</v>
      </c>
      <c r="D12" s="491" t="str">
        <f>'DATA SKP2'!F16</f>
        <v>MTs Negeri 5 Sleman</v>
      </c>
      <c r="E12" s="489"/>
      <c r="F12" s="489"/>
      <c r="G12" s="490"/>
      <c r="H12" s="494" t="s">
        <v>5</v>
      </c>
      <c r="I12" s="490" t="s">
        <v>16</v>
      </c>
      <c r="J12" s="713" t="s">
        <v>426</v>
      </c>
      <c r="K12" s="495"/>
      <c r="L12" s="495"/>
      <c r="M12" s="495"/>
      <c r="N12" s="495"/>
      <c r="O12" s="495"/>
      <c r="P12" s="495"/>
      <c r="Q12" s="496"/>
    </row>
    <row r="13" spans="1:17" s="500" customFormat="1" ht="24" customHeight="1" x14ac:dyDescent="0.2">
      <c r="A13" s="499" t="s">
        <v>1</v>
      </c>
      <c r="B13" s="1113" t="s">
        <v>351</v>
      </c>
      <c r="C13" s="1114"/>
      <c r="D13" s="1115"/>
      <c r="E13" s="1113" t="s">
        <v>353</v>
      </c>
      <c r="F13" s="1114"/>
      <c r="G13" s="1114"/>
      <c r="H13" s="1115"/>
      <c r="I13" s="1113" t="s">
        <v>7</v>
      </c>
      <c r="J13" s="1114"/>
      <c r="K13" s="1114"/>
      <c r="L13" s="1114"/>
      <c r="M13" s="1114"/>
      <c r="N13" s="1114"/>
      <c r="O13" s="1114"/>
      <c r="P13" s="1114"/>
      <c r="Q13" s="1115"/>
    </row>
    <row r="14" spans="1:17" x14ac:dyDescent="0.2">
      <c r="A14" s="501" t="s">
        <v>354</v>
      </c>
      <c r="B14" s="1116" t="s">
        <v>355</v>
      </c>
      <c r="C14" s="1117"/>
      <c r="D14" s="1118"/>
      <c r="E14" s="1116" t="s">
        <v>356</v>
      </c>
      <c r="F14" s="1117"/>
      <c r="G14" s="1117"/>
      <c r="H14" s="1118"/>
      <c r="I14" s="1116" t="s">
        <v>357</v>
      </c>
      <c r="J14" s="1117"/>
      <c r="K14" s="1117"/>
      <c r="L14" s="1117"/>
      <c r="M14" s="1117"/>
      <c r="N14" s="1117"/>
      <c r="O14" s="1117"/>
      <c r="P14" s="1117"/>
      <c r="Q14" s="1118"/>
    </row>
    <row r="15" spans="1:17" x14ac:dyDescent="0.2">
      <c r="A15" s="1119" t="s">
        <v>360</v>
      </c>
      <c r="B15" s="1117"/>
      <c r="C15" s="1117"/>
      <c r="D15" s="1117"/>
      <c r="E15" s="1117"/>
      <c r="F15" s="1117"/>
      <c r="G15" s="1117"/>
      <c r="H15" s="1117"/>
      <c r="I15" s="1117"/>
      <c r="J15" s="1117"/>
      <c r="K15" s="1117"/>
      <c r="L15" s="1117"/>
      <c r="M15" s="1117"/>
      <c r="N15" s="1117"/>
      <c r="O15" s="1117"/>
      <c r="P15" s="1117"/>
      <c r="Q15" s="1118"/>
    </row>
    <row r="16" spans="1:17" ht="30" customHeight="1" x14ac:dyDescent="0.2">
      <c r="A16" s="509">
        <v>1</v>
      </c>
      <c r="B16" s="1120" t="s">
        <v>565</v>
      </c>
      <c r="C16" s="1166"/>
      <c r="D16" s="1167"/>
      <c r="E16" s="1120" t="s">
        <v>427</v>
      </c>
      <c r="F16" s="1121"/>
      <c r="G16" s="1121"/>
      <c r="H16" s="1122"/>
      <c r="I16" s="1168">
        <v>100</v>
      </c>
      <c r="J16" s="1169"/>
      <c r="K16" s="1169"/>
      <c r="L16" s="1169"/>
      <c r="M16" s="1169"/>
      <c r="N16" s="1121" t="s">
        <v>566</v>
      </c>
      <c r="O16" s="1121"/>
      <c r="P16" s="1121"/>
      <c r="Q16" s="1122"/>
    </row>
    <row r="17" spans="1:17" ht="30" customHeight="1" x14ac:dyDescent="0.2">
      <c r="A17" s="509" t="s">
        <v>567</v>
      </c>
      <c r="B17" s="1120" t="s">
        <v>567</v>
      </c>
      <c r="C17" s="1166"/>
      <c r="D17" s="1167"/>
      <c r="E17" s="1120" t="s">
        <v>429</v>
      </c>
      <c r="F17" s="1121"/>
      <c r="G17" s="1121"/>
      <c r="H17" s="1122"/>
      <c r="I17" s="1168">
        <v>100</v>
      </c>
      <c r="J17" s="1169"/>
      <c r="K17" s="1169"/>
      <c r="L17" s="1169"/>
      <c r="M17" s="1169"/>
      <c r="N17" s="1121" t="s">
        <v>566</v>
      </c>
      <c r="O17" s="1121"/>
      <c r="P17" s="1121"/>
      <c r="Q17" s="1122"/>
    </row>
    <row r="18" spans="1:17" ht="30" customHeight="1" x14ac:dyDescent="0.2">
      <c r="A18" s="509" t="s">
        <v>567</v>
      </c>
      <c r="B18" s="1120" t="s">
        <v>567</v>
      </c>
      <c r="C18" s="1166"/>
      <c r="D18" s="1167"/>
      <c r="E18" s="1120" t="s">
        <v>430</v>
      </c>
      <c r="F18" s="1121"/>
      <c r="G18" s="1121"/>
      <c r="H18" s="1122"/>
      <c r="I18" s="1168">
        <v>100</v>
      </c>
      <c r="J18" s="1169"/>
      <c r="K18" s="1169"/>
      <c r="L18" s="1169"/>
      <c r="M18" s="1169"/>
      <c r="N18" s="1121" t="s">
        <v>566</v>
      </c>
      <c r="O18" s="1121"/>
      <c r="P18" s="1121"/>
      <c r="Q18" s="1122"/>
    </row>
    <row r="19" spans="1:17" ht="30" customHeight="1" x14ac:dyDescent="0.2">
      <c r="A19" s="509">
        <v>2</v>
      </c>
      <c r="B19" s="1120" t="s">
        <v>568</v>
      </c>
      <c r="C19" s="1166"/>
      <c r="D19" s="1167"/>
      <c r="E19" s="1120" t="s">
        <v>431</v>
      </c>
      <c r="F19" s="1121"/>
      <c r="G19" s="1121"/>
      <c r="H19" s="1122"/>
      <c r="I19" s="1168">
        <v>100</v>
      </c>
      <c r="J19" s="1169"/>
      <c r="K19" s="1169"/>
      <c r="L19" s="1169"/>
      <c r="M19" s="1169"/>
      <c r="N19" s="1121" t="s">
        <v>566</v>
      </c>
      <c r="O19" s="1121"/>
      <c r="P19" s="1121"/>
      <c r="Q19" s="1122"/>
    </row>
    <row r="20" spans="1:17" ht="30" customHeight="1" x14ac:dyDescent="0.2">
      <c r="A20" s="509">
        <v>3</v>
      </c>
      <c r="B20" s="1120" t="s">
        <v>569</v>
      </c>
      <c r="C20" s="1166"/>
      <c r="D20" s="1167"/>
      <c r="E20" s="1120" t="s">
        <v>434</v>
      </c>
      <c r="F20" s="1121"/>
      <c r="G20" s="1121"/>
      <c r="H20" s="1122"/>
      <c r="I20" s="1168">
        <v>100</v>
      </c>
      <c r="J20" s="1169"/>
      <c r="K20" s="1169"/>
      <c r="L20" s="1169"/>
      <c r="M20" s="1169"/>
      <c r="N20" s="1121" t="s">
        <v>566</v>
      </c>
      <c r="O20" s="1121"/>
      <c r="P20" s="1121"/>
      <c r="Q20" s="1122"/>
    </row>
    <row r="21" spans="1:17" ht="30" customHeight="1" x14ac:dyDescent="0.2">
      <c r="A21" s="509" t="s">
        <v>567</v>
      </c>
      <c r="B21" s="1120" t="s">
        <v>567</v>
      </c>
      <c r="C21" s="1166"/>
      <c r="D21" s="1167"/>
      <c r="E21" s="1120" t="s">
        <v>435</v>
      </c>
      <c r="F21" s="1121"/>
      <c r="G21" s="1121"/>
      <c r="H21" s="1122"/>
      <c r="I21" s="1168">
        <v>1</v>
      </c>
      <c r="J21" s="1169"/>
      <c r="K21" s="1169"/>
      <c r="L21" s="1169"/>
      <c r="M21" s="1169"/>
      <c r="N21" s="1121" t="s">
        <v>570</v>
      </c>
      <c r="O21" s="1121"/>
      <c r="P21" s="1121"/>
      <c r="Q21" s="1122"/>
    </row>
    <row r="22" spans="1:17" ht="30" customHeight="1" x14ac:dyDescent="0.2">
      <c r="A22" s="509" t="s">
        <v>567</v>
      </c>
      <c r="B22" s="1120" t="s">
        <v>567</v>
      </c>
      <c r="C22" s="1166"/>
      <c r="D22" s="1167"/>
      <c r="E22" s="1120" t="s">
        <v>437</v>
      </c>
      <c r="F22" s="1121"/>
      <c r="G22" s="1121"/>
      <c r="H22" s="1122"/>
      <c r="I22" s="1168">
        <v>2</v>
      </c>
      <c r="J22" s="1169"/>
      <c r="K22" s="1169"/>
      <c r="L22" s="1169"/>
      <c r="M22" s="1169"/>
      <c r="N22" s="1121" t="s">
        <v>571</v>
      </c>
      <c r="O22" s="1121"/>
      <c r="P22" s="1121"/>
      <c r="Q22" s="1122"/>
    </row>
    <row r="23" spans="1:17" ht="30" customHeight="1" x14ac:dyDescent="0.2">
      <c r="A23" s="509" t="s">
        <v>567</v>
      </c>
      <c r="B23" s="1120" t="s">
        <v>567</v>
      </c>
      <c r="C23" s="1166"/>
      <c r="D23" s="1167"/>
      <c r="E23" s="1120" t="s">
        <v>439</v>
      </c>
      <c r="F23" s="1121"/>
      <c r="G23" s="1121"/>
      <c r="H23" s="1122"/>
      <c r="I23" s="1168">
        <v>100</v>
      </c>
      <c r="J23" s="1169"/>
      <c r="K23" s="1169"/>
      <c r="L23" s="1169"/>
      <c r="M23" s="1169"/>
      <c r="N23" s="1121" t="s">
        <v>566</v>
      </c>
      <c r="O23" s="1121"/>
      <c r="P23" s="1121"/>
      <c r="Q23" s="1122"/>
    </row>
    <row r="24" spans="1:17" ht="30" customHeight="1" x14ac:dyDescent="0.2">
      <c r="A24" s="509">
        <v>4</v>
      </c>
      <c r="B24" s="1120" t="s">
        <v>572</v>
      </c>
      <c r="C24" s="1166"/>
      <c r="D24" s="1167"/>
      <c r="E24" s="1120" t="s">
        <v>440</v>
      </c>
      <c r="F24" s="1121"/>
      <c r="G24" s="1121"/>
      <c r="H24" s="1122"/>
      <c r="I24" s="1168">
        <v>100</v>
      </c>
      <c r="J24" s="1169"/>
      <c r="K24" s="1169"/>
      <c r="L24" s="1169"/>
      <c r="M24" s="1169"/>
      <c r="N24" s="1121" t="s">
        <v>566</v>
      </c>
      <c r="O24" s="1121"/>
      <c r="P24" s="1121"/>
      <c r="Q24" s="1122"/>
    </row>
    <row r="25" spans="1:17" ht="45" customHeight="1" x14ac:dyDescent="0.2">
      <c r="A25" s="509" t="s">
        <v>567</v>
      </c>
      <c r="B25" s="1120" t="s">
        <v>567</v>
      </c>
      <c r="C25" s="1166"/>
      <c r="D25" s="1167"/>
      <c r="E25" s="1120" t="s">
        <v>441</v>
      </c>
      <c r="F25" s="1121"/>
      <c r="G25" s="1121"/>
      <c r="H25" s="1122"/>
      <c r="I25" s="1168">
        <v>100</v>
      </c>
      <c r="J25" s="1169"/>
      <c r="K25" s="1169"/>
      <c r="L25" s="1169"/>
      <c r="M25" s="1169"/>
      <c r="N25" s="1121" t="s">
        <v>566</v>
      </c>
      <c r="O25" s="1121"/>
      <c r="P25" s="1121"/>
      <c r="Q25" s="1122"/>
    </row>
    <row r="26" spans="1:17" ht="30" customHeight="1" x14ac:dyDescent="0.2">
      <c r="A26" s="509">
        <v>5</v>
      </c>
      <c r="B26" s="1120" t="s">
        <v>442</v>
      </c>
      <c r="C26" s="1166"/>
      <c r="D26" s="1167"/>
      <c r="E26" s="1120" t="s">
        <v>573</v>
      </c>
      <c r="F26" s="1121"/>
      <c r="G26" s="1121"/>
      <c r="H26" s="1122"/>
      <c r="I26" s="1168">
        <v>100</v>
      </c>
      <c r="J26" s="1169"/>
      <c r="K26" s="1169"/>
      <c r="L26" s="1169"/>
      <c r="M26" s="1169"/>
      <c r="N26" s="1121" t="s">
        <v>574</v>
      </c>
      <c r="O26" s="1121"/>
      <c r="P26" s="1121"/>
      <c r="Q26" s="1122"/>
    </row>
    <row r="27" spans="1:17" ht="30" customHeight="1" x14ac:dyDescent="0.2">
      <c r="A27" s="509">
        <v>6</v>
      </c>
      <c r="B27" s="1120" t="s">
        <v>445</v>
      </c>
      <c r="C27" s="1166"/>
      <c r="D27" s="1167"/>
      <c r="E27" s="1120" t="s">
        <v>446</v>
      </c>
      <c r="F27" s="1121"/>
      <c r="G27" s="1121"/>
      <c r="H27" s="1122"/>
      <c r="I27" s="1168">
        <v>368</v>
      </c>
      <c r="J27" s="1169"/>
      <c r="K27" s="1169"/>
      <c r="L27" s="1169"/>
      <c r="M27" s="1169"/>
      <c r="N27" s="1121" t="s">
        <v>575</v>
      </c>
      <c r="O27" s="1121"/>
      <c r="P27" s="1121"/>
      <c r="Q27" s="1122"/>
    </row>
    <row r="28" spans="1:17" ht="30" customHeight="1" x14ac:dyDescent="0.2">
      <c r="A28" s="509" t="s">
        <v>567</v>
      </c>
      <c r="B28" s="1120" t="s">
        <v>567</v>
      </c>
      <c r="C28" s="1166"/>
      <c r="D28" s="1167"/>
      <c r="E28" s="1120" t="s">
        <v>448</v>
      </c>
      <c r="F28" s="1121"/>
      <c r="G28" s="1121"/>
      <c r="H28" s="1122"/>
      <c r="I28" s="1168">
        <v>20</v>
      </c>
      <c r="J28" s="1169"/>
      <c r="K28" s="1169"/>
      <c r="L28" s="1169"/>
      <c r="M28" s="1169"/>
      <c r="N28" s="1121" t="s">
        <v>566</v>
      </c>
      <c r="O28" s="1121"/>
      <c r="P28" s="1121"/>
      <c r="Q28" s="1122"/>
    </row>
    <row r="29" spans="1:17" ht="30" customHeight="1" x14ac:dyDescent="0.2">
      <c r="A29" s="509">
        <v>7</v>
      </c>
      <c r="B29" s="1120" t="s">
        <v>450</v>
      </c>
      <c r="C29" s="1166"/>
      <c r="D29" s="1167"/>
      <c r="E29" s="1120" t="s">
        <v>451</v>
      </c>
      <c r="F29" s="1121"/>
      <c r="G29" s="1121"/>
      <c r="H29" s="1122"/>
      <c r="I29" s="1168">
        <v>80</v>
      </c>
      <c r="J29" s="1169"/>
      <c r="K29" s="1169"/>
      <c r="L29" s="1169"/>
      <c r="M29" s="1169"/>
      <c r="N29" s="1121" t="s">
        <v>566</v>
      </c>
      <c r="O29" s="1121"/>
      <c r="P29" s="1121"/>
      <c r="Q29" s="1122"/>
    </row>
    <row r="30" spans="1:17" ht="45" customHeight="1" x14ac:dyDescent="0.2">
      <c r="A30" s="509" t="s">
        <v>567</v>
      </c>
      <c r="B30" s="1120" t="s">
        <v>567</v>
      </c>
      <c r="C30" s="1166"/>
      <c r="D30" s="1167"/>
      <c r="E30" s="1120" t="s">
        <v>453</v>
      </c>
      <c r="F30" s="1121"/>
      <c r="G30" s="1121"/>
      <c r="H30" s="1122"/>
      <c r="I30" s="1168">
        <v>80</v>
      </c>
      <c r="J30" s="1169"/>
      <c r="K30" s="1169"/>
      <c r="L30" s="1169"/>
      <c r="M30" s="1169"/>
      <c r="N30" s="1121" t="s">
        <v>566</v>
      </c>
      <c r="O30" s="1121"/>
      <c r="P30" s="1121"/>
      <c r="Q30" s="1122"/>
    </row>
    <row r="31" spans="1:17" ht="33" customHeight="1" x14ac:dyDescent="0.2">
      <c r="A31" s="509" t="s">
        <v>567</v>
      </c>
      <c r="B31" s="1120" t="s">
        <v>567</v>
      </c>
      <c r="C31" s="1166"/>
      <c r="D31" s="1167"/>
      <c r="E31" s="1120" t="s">
        <v>454</v>
      </c>
      <c r="F31" s="1121"/>
      <c r="G31" s="1121"/>
      <c r="H31" s="1122"/>
      <c r="I31" s="1168">
        <v>100</v>
      </c>
      <c r="J31" s="1169"/>
      <c r="K31" s="1169"/>
      <c r="L31" s="1169"/>
      <c r="M31" s="1169"/>
      <c r="N31" s="1121" t="s">
        <v>566</v>
      </c>
      <c r="O31" s="1121"/>
      <c r="P31" s="1121"/>
      <c r="Q31" s="1122"/>
    </row>
    <row r="32" spans="1:17" ht="30" customHeight="1" x14ac:dyDescent="0.2">
      <c r="A32" s="509">
        <v>8</v>
      </c>
      <c r="B32" s="1120" t="s">
        <v>455</v>
      </c>
      <c r="C32" s="1166"/>
      <c r="D32" s="1167"/>
      <c r="E32" s="1120" t="s">
        <v>456</v>
      </c>
      <c r="F32" s="1121"/>
      <c r="G32" s="1121"/>
      <c r="H32" s="1122"/>
      <c r="I32" s="1168">
        <v>88</v>
      </c>
      <c r="J32" s="1169"/>
      <c r="K32" s="1169"/>
      <c r="L32" s="1169"/>
      <c r="M32" s="1169"/>
      <c r="N32" s="1121" t="s">
        <v>566</v>
      </c>
      <c r="O32" s="1121"/>
      <c r="P32" s="1121"/>
      <c r="Q32" s="1122"/>
    </row>
    <row r="33" spans="1:17" ht="21.95" customHeight="1" x14ac:dyDescent="0.2">
      <c r="A33" s="509">
        <v>9</v>
      </c>
      <c r="B33" s="1120" t="s">
        <v>458</v>
      </c>
      <c r="C33" s="1166"/>
      <c r="D33" s="1167"/>
      <c r="E33" s="1120" t="s">
        <v>459</v>
      </c>
      <c r="F33" s="1121"/>
      <c r="G33" s="1121"/>
      <c r="H33" s="1122"/>
      <c r="I33" s="1168">
        <v>100</v>
      </c>
      <c r="J33" s="1169"/>
      <c r="K33" s="1169"/>
      <c r="L33" s="1169"/>
      <c r="M33" s="1169"/>
      <c r="N33" s="1121" t="s">
        <v>566</v>
      </c>
      <c r="O33" s="1121"/>
      <c r="P33" s="1121"/>
      <c r="Q33" s="1122"/>
    </row>
    <row r="34" spans="1:17" ht="30" customHeight="1" x14ac:dyDescent="0.2">
      <c r="A34" s="509" t="s">
        <v>567</v>
      </c>
      <c r="B34" s="1120" t="s">
        <v>567</v>
      </c>
      <c r="C34" s="1166"/>
      <c r="D34" s="1167"/>
      <c r="E34" s="1120" t="s">
        <v>460</v>
      </c>
      <c r="F34" s="1121"/>
      <c r="G34" s="1121"/>
      <c r="H34" s="1122"/>
      <c r="I34" s="1168">
        <v>10</v>
      </c>
      <c r="J34" s="1169"/>
      <c r="K34" s="1169"/>
      <c r="L34" s="1169"/>
      <c r="M34" s="1169"/>
      <c r="N34" s="1121" t="s">
        <v>566</v>
      </c>
      <c r="O34" s="1121"/>
      <c r="P34" s="1121"/>
      <c r="Q34" s="1122"/>
    </row>
    <row r="35" spans="1:17" ht="43.5" customHeight="1" x14ac:dyDescent="0.2">
      <c r="A35" s="509">
        <v>10</v>
      </c>
      <c r="B35" s="1120" t="s">
        <v>462</v>
      </c>
      <c r="C35" s="1166"/>
      <c r="D35" s="1167"/>
      <c r="E35" s="1120" t="s">
        <v>463</v>
      </c>
      <c r="F35" s="1121"/>
      <c r="G35" s="1121"/>
      <c r="H35" s="1122"/>
      <c r="I35" s="1168">
        <v>100</v>
      </c>
      <c r="J35" s="1169"/>
      <c r="K35" s="1169"/>
      <c r="L35" s="1169"/>
      <c r="M35" s="1169"/>
      <c r="N35" s="1121" t="s">
        <v>566</v>
      </c>
      <c r="O35" s="1121"/>
      <c r="P35" s="1121"/>
      <c r="Q35" s="1122"/>
    </row>
    <row r="36" spans="1:17" ht="30" customHeight="1" x14ac:dyDescent="0.2">
      <c r="A36" s="509" t="s">
        <v>567</v>
      </c>
      <c r="B36" s="1120" t="s">
        <v>567</v>
      </c>
      <c r="C36" s="1166"/>
      <c r="D36" s="1167"/>
      <c r="E36" s="1120" t="s">
        <v>464</v>
      </c>
      <c r="F36" s="1121"/>
      <c r="G36" s="1121"/>
      <c r="H36" s="1122"/>
      <c r="I36" s="1168">
        <v>100</v>
      </c>
      <c r="J36" s="1169"/>
      <c r="K36" s="1169"/>
      <c r="L36" s="1169"/>
      <c r="M36" s="1169"/>
      <c r="N36" s="1121" t="s">
        <v>566</v>
      </c>
      <c r="O36" s="1121"/>
      <c r="P36" s="1121"/>
      <c r="Q36" s="1122"/>
    </row>
    <row r="37" spans="1:17" ht="45" customHeight="1" x14ac:dyDescent="0.2">
      <c r="A37" s="509">
        <v>11</v>
      </c>
      <c r="B37" s="1120" t="s">
        <v>465</v>
      </c>
      <c r="C37" s="1166"/>
      <c r="D37" s="1167"/>
      <c r="E37" s="1120" t="s">
        <v>466</v>
      </c>
      <c r="F37" s="1121"/>
      <c r="G37" s="1121"/>
      <c r="H37" s="1122"/>
      <c r="I37" s="1168">
        <v>1</v>
      </c>
      <c r="J37" s="1169"/>
      <c r="K37" s="1169"/>
      <c r="L37" s="1169"/>
      <c r="M37" s="1169"/>
      <c r="N37" s="1121" t="s">
        <v>576</v>
      </c>
      <c r="O37" s="1121"/>
      <c r="P37" s="1121"/>
      <c r="Q37" s="1122"/>
    </row>
    <row r="38" spans="1:17" ht="30" customHeight="1" x14ac:dyDescent="0.2">
      <c r="A38" s="509" t="s">
        <v>567</v>
      </c>
      <c r="B38" s="1120" t="s">
        <v>567</v>
      </c>
      <c r="C38" s="1166"/>
      <c r="D38" s="1167"/>
      <c r="E38" s="1120" t="s">
        <v>468</v>
      </c>
      <c r="F38" s="1121"/>
      <c r="G38" s="1121"/>
      <c r="H38" s="1122"/>
      <c r="I38" s="1168">
        <v>1</v>
      </c>
      <c r="J38" s="1169"/>
      <c r="K38" s="1169"/>
      <c r="L38" s="1169"/>
      <c r="M38" s="1169"/>
      <c r="N38" s="1121" t="s">
        <v>577</v>
      </c>
      <c r="O38" s="1121"/>
      <c r="P38" s="1121"/>
      <c r="Q38" s="1122"/>
    </row>
    <row r="39" spans="1:17" ht="30" customHeight="1" x14ac:dyDescent="0.2">
      <c r="A39" s="509">
        <v>12</v>
      </c>
      <c r="B39" s="1120" t="s">
        <v>470</v>
      </c>
      <c r="C39" s="1166"/>
      <c r="D39" s="1167"/>
      <c r="E39" s="1120" t="s">
        <v>471</v>
      </c>
      <c r="F39" s="1121"/>
      <c r="G39" s="1121"/>
      <c r="H39" s="1122"/>
      <c r="I39" s="1168">
        <v>100</v>
      </c>
      <c r="J39" s="1169"/>
      <c r="K39" s="1169"/>
      <c r="L39" s="1169"/>
      <c r="M39" s="1169"/>
      <c r="N39" s="1121" t="s">
        <v>566</v>
      </c>
      <c r="O39" s="1121"/>
      <c r="P39" s="1121"/>
      <c r="Q39" s="1122"/>
    </row>
    <row r="40" spans="1:17" ht="45" customHeight="1" x14ac:dyDescent="0.2">
      <c r="A40" s="509" t="s">
        <v>567</v>
      </c>
      <c r="B40" s="1120" t="s">
        <v>567</v>
      </c>
      <c r="C40" s="1166"/>
      <c r="D40" s="1167"/>
      <c r="E40" s="1120" t="s">
        <v>472</v>
      </c>
      <c r="F40" s="1121"/>
      <c r="G40" s="1121"/>
      <c r="H40" s="1122"/>
      <c r="I40" s="1168">
        <v>100</v>
      </c>
      <c r="J40" s="1169"/>
      <c r="K40" s="1169"/>
      <c r="L40" s="1169"/>
      <c r="M40" s="1169"/>
      <c r="N40" s="1121" t="s">
        <v>566</v>
      </c>
      <c r="O40" s="1121"/>
      <c r="P40" s="1121"/>
      <c r="Q40" s="1122"/>
    </row>
    <row r="41" spans="1:17" ht="30" customHeight="1" x14ac:dyDescent="0.2">
      <c r="A41" s="509" t="s">
        <v>567</v>
      </c>
      <c r="B41" s="1120" t="s">
        <v>567</v>
      </c>
      <c r="C41" s="1166"/>
      <c r="D41" s="1167"/>
      <c r="E41" s="1120" t="s">
        <v>473</v>
      </c>
      <c r="F41" s="1121"/>
      <c r="G41" s="1121"/>
      <c r="H41" s="1122"/>
      <c r="I41" s="1168">
        <v>80</v>
      </c>
      <c r="J41" s="1169"/>
      <c r="K41" s="1169"/>
      <c r="L41" s="1169"/>
      <c r="M41" s="1169"/>
      <c r="N41" s="1121" t="s">
        <v>566</v>
      </c>
      <c r="O41" s="1121"/>
      <c r="P41" s="1121"/>
      <c r="Q41" s="1122"/>
    </row>
    <row r="42" spans="1:17" ht="20.25" customHeight="1" x14ac:dyDescent="0.2">
      <c r="A42" s="509" t="s">
        <v>567</v>
      </c>
      <c r="B42" s="1120" t="s">
        <v>567</v>
      </c>
      <c r="C42" s="1166"/>
      <c r="D42" s="1167"/>
      <c r="E42" s="1120" t="s">
        <v>474</v>
      </c>
      <c r="F42" s="1121"/>
      <c r="G42" s="1121"/>
      <c r="H42" s="1122"/>
      <c r="I42" s="1168">
        <v>100</v>
      </c>
      <c r="J42" s="1169"/>
      <c r="K42" s="1169"/>
      <c r="L42" s="1169"/>
      <c r="M42" s="1169"/>
      <c r="N42" s="1121" t="s">
        <v>566</v>
      </c>
      <c r="O42" s="1121"/>
      <c r="P42" s="1121"/>
      <c r="Q42" s="1122"/>
    </row>
    <row r="43" spans="1:17" ht="30" customHeight="1" x14ac:dyDescent="0.2">
      <c r="A43" s="509">
        <v>13</v>
      </c>
      <c r="B43" s="1120" t="s">
        <v>475</v>
      </c>
      <c r="C43" s="1166"/>
      <c r="D43" s="1167"/>
      <c r="E43" s="1120" t="s">
        <v>476</v>
      </c>
      <c r="F43" s="1121"/>
      <c r="G43" s="1121"/>
      <c r="H43" s="1122"/>
      <c r="I43" s="1168">
        <v>100</v>
      </c>
      <c r="J43" s="1169"/>
      <c r="K43" s="1169"/>
      <c r="L43" s="1169"/>
      <c r="M43" s="1169"/>
      <c r="N43" s="1121" t="s">
        <v>566</v>
      </c>
      <c r="O43" s="1121"/>
      <c r="P43" s="1121"/>
      <c r="Q43" s="1122"/>
    </row>
    <row r="44" spans="1:17" ht="30" customHeight="1" x14ac:dyDescent="0.2">
      <c r="A44" s="509" t="s">
        <v>567</v>
      </c>
      <c r="B44" s="1120" t="s">
        <v>567</v>
      </c>
      <c r="C44" s="1166"/>
      <c r="D44" s="1167"/>
      <c r="E44" s="1120" t="s">
        <v>477</v>
      </c>
      <c r="F44" s="1121"/>
      <c r="G44" s="1121"/>
      <c r="H44" s="1122"/>
      <c r="I44" s="1168">
        <v>90</v>
      </c>
      <c r="J44" s="1169"/>
      <c r="K44" s="1169"/>
      <c r="L44" s="1169"/>
      <c r="M44" s="1169"/>
      <c r="N44" s="1121" t="s">
        <v>566</v>
      </c>
      <c r="O44" s="1121"/>
      <c r="P44" s="1121"/>
      <c r="Q44" s="1122"/>
    </row>
    <row r="45" spans="1:17" ht="30" customHeight="1" x14ac:dyDescent="0.2">
      <c r="A45" s="509" t="s">
        <v>567</v>
      </c>
      <c r="B45" s="1120" t="s">
        <v>567</v>
      </c>
      <c r="C45" s="1166"/>
      <c r="D45" s="1167"/>
      <c r="E45" s="1120" t="s">
        <v>479</v>
      </c>
      <c r="F45" s="1121"/>
      <c r="G45" s="1121"/>
      <c r="H45" s="1122"/>
      <c r="I45" s="1168">
        <v>100</v>
      </c>
      <c r="J45" s="1169"/>
      <c r="K45" s="1169"/>
      <c r="L45" s="1169"/>
      <c r="M45" s="1169"/>
      <c r="N45" s="1121" t="s">
        <v>566</v>
      </c>
      <c r="O45" s="1121"/>
      <c r="P45" s="1121"/>
      <c r="Q45" s="1122"/>
    </row>
    <row r="46" spans="1:17" ht="30" customHeight="1" x14ac:dyDescent="0.2">
      <c r="A46" s="509">
        <v>14</v>
      </c>
      <c r="B46" s="1120" t="s">
        <v>480</v>
      </c>
      <c r="C46" s="1166"/>
      <c r="D46" s="1167"/>
      <c r="E46" s="1120" t="s">
        <v>481</v>
      </c>
      <c r="F46" s="1121"/>
      <c r="G46" s="1121"/>
      <c r="H46" s="1122"/>
      <c r="I46" s="1168">
        <v>80</v>
      </c>
      <c r="J46" s="1169"/>
      <c r="K46" s="1169"/>
      <c r="L46" s="1169"/>
      <c r="M46" s="1169"/>
      <c r="N46" s="1121" t="s">
        <v>566</v>
      </c>
      <c r="O46" s="1121"/>
      <c r="P46" s="1121"/>
      <c r="Q46" s="1122"/>
    </row>
    <row r="47" spans="1:17" ht="18" customHeight="1" x14ac:dyDescent="0.2">
      <c r="A47" s="509" t="s">
        <v>567</v>
      </c>
      <c r="B47" s="1120" t="s">
        <v>567</v>
      </c>
      <c r="C47" s="1166"/>
      <c r="D47" s="1167"/>
      <c r="E47" s="1120" t="s">
        <v>482</v>
      </c>
      <c r="F47" s="1121"/>
      <c r="G47" s="1121"/>
      <c r="H47" s="1122"/>
      <c r="I47" s="1168">
        <v>100</v>
      </c>
      <c r="J47" s="1169"/>
      <c r="K47" s="1169"/>
      <c r="L47" s="1169"/>
      <c r="M47" s="1169"/>
      <c r="N47" s="1121" t="s">
        <v>566</v>
      </c>
      <c r="O47" s="1121"/>
      <c r="P47" s="1121"/>
      <c r="Q47" s="1122"/>
    </row>
    <row r="48" spans="1:17" ht="16.5" customHeight="1" x14ac:dyDescent="0.2">
      <c r="A48" s="509" t="s">
        <v>567</v>
      </c>
      <c r="B48" s="1120" t="s">
        <v>567</v>
      </c>
      <c r="C48" s="1166"/>
      <c r="D48" s="1167"/>
      <c r="E48" s="1120" t="s">
        <v>483</v>
      </c>
      <c r="F48" s="1121"/>
      <c r="G48" s="1121"/>
      <c r="H48" s="1122"/>
      <c r="I48" s="1168">
        <v>80</v>
      </c>
      <c r="J48" s="1169"/>
      <c r="K48" s="1169"/>
      <c r="L48" s="1169"/>
      <c r="M48" s="1169"/>
      <c r="N48" s="1121" t="s">
        <v>566</v>
      </c>
      <c r="O48" s="1121"/>
      <c r="P48" s="1121"/>
      <c r="Q48" s="1122"/>
    </row>
    <row r="49" spans="1:17" ht="30" customHeight="1" x14ac:dyDescent="0.2">
      <c r="A49" s="509">
        <v>15</v>
      </c>
      <c r="B49" s="1120" t="s">
        <v>484</v>
      </c>
      <c r="C49" s="1166"/>
      <c r="D49" s="1167"/>
      <c r="E49" s="1120" t="s">
        <v>485</v>
      </c>
      <c r="F49" s="1121"/>
      <c r="G49" s="1121"/>
      <c r="H49" s="1122"/>
      <c r="I49" s="1168">
        <v>100</v>
      </c>
      <c r="J49" s="1169"/>
      <c r="K49" s="1169"/>
      <c r="L49" s="1169"/>
      <c r="M49" s="1169"/>
      <c r="N49" s="1121" t="s">
        <v>566</v>
      </c>
      <c r="O49" s="1121"/>
      <c r="P49" s="1121"/>
      <c r="Q49" s="1122"/>
    </row>
    <row r="50" spans="1:17" ht="30" customHeight="1" x14ac:dyDescent="0.2">
      <c r="A50" s="509" t="s">
        <v>567</v>
      </c>
      <c r="B50" s="1120" t="s">
        <v>567</v>
      </c>
      <c r="C50" s="1166"/>
      <c r="D50" s="1167"/>
      <c r="E50" s="1120" t="s">
        <v>486</v>
      </c>
      <c r="F50" s="1121"/>
      <c r="G50" s="1121"/>
      <c r="H50" s="1122"/>
      <c r="I50" s="1168">
        <v>100</v>
      </c>
      <c r="J50" s="1169"/>
      <c r="K50" s="1169"/>
      <c r="L50" s="1169"/>
      <c r="M50" s="1169"/>
      <c r="N50" s="1121" t="s">
        <v>566</v>
      </c>
      <c r="O50" s="1121"/>
      <c r="P50" s="1121"/>
      <c r="Q50" s="1122"/>
    </row>
    <row r="51" spans="1:17" ht="30" customHeight="1" x14ac:dyDescent="0.2">
      <c r="A51" s="509" t="s">
        <v>567</v>
      </c>
      <c r="B51" s="1120" t="s">
        <v>567</v>
      </c>
      <c r="C51" s="1166"/>
      <c r="D51" s="1167"/>
      <c r="E51" s="1120" t="s">
        <v>487</v>
      </c>
      <c r="F51" s="1121"/>
      <c r="G51" s="1121"/>
      <c r="H51" s="1122"/>
      <c r="I51" s="1168">
        <v>80</v>
      </c>
      <c r="J51" s="1169"/>
      <c r="K51" s="1169"/>
      <c r="L51" s="1169"/>
      <c r="M51" s="1169"/>
      <c r="N51" s="1121" t="s">
        <v>566</v>
      </c>
      <c r="O51" s="1121"/>
      <c r="P51" s="1121"/>
      <c r="Q51" s="1122"/>
    </row>
    <row r="52" spans="1:17" ht="30" customHeight="1" x14ac:dyDescent="0.2">
      <c r="A52" s="509">
        <v>16</v>
      </c>
      <c r="B52" s="1120" t="s">
        <v>488</v>
      </c>
      <c r="C52" s="1166"/>
      <c r="D52" s="1167"/>
      <c r="E52" s="1120" t="s">
        <v>489</v>
      </c>
      <c r="F52" s="1121"/>
      <c r="G52" s="1121"/>
      <c r="H52" s="1122"/>
      <c r="I52" s="1168">
        <v>100</v>
      </c>
      <c r="J52" s="1169"/>
      <c r="K52" s="1169"/>
      <c r="L52" s="1169"/>
      <c r="M52" s="1169"/>
      <c r="N52" s="1121" t="s">
        <v>566</v>
      </c>
      <c r="O52" s="1121"/>
      <c r="P52" s="1121"/>
      <c r="Q52" s="1122"/>
    </row>
    <row r="53" spans="1:17" ht="30" customHeight="1" x14ac:dyDescent="0.2">
      <c r="A53" s="509" t="s">
        <v>567</v>
      </c>
      <c r="B53" s="1120" t="s">
        <v>567</v>
      </c>
      <c r="C53" s="1166"/>
      <c r="D53" s="1167"/>
      <c r="E53" s="1120" t="s">
        <v>490</v>
      </c>
      <c r="F53" s="1121"/>
      <c r="G53" s="1121"/>
      <c r="H53" s="1122"/>
      <c r="I53" s="1168">
        <v>3</v>
      </c>
      <c r="J53" s="1169"/>
      <c r="K53" s="1169"/>
      <c r="L53" s="1169"/>
      <c r="M53" s="1169"/>
      <c r="N53" s="1121" t="s">
        <v>578</v>
      </c>
      <c r="O53" s="1121"/>
      <c r="P53" s="1121"/>
      <c r="Q53" s="1122"/>
    </row>
    <row r="54" spans="1:17" ht="18.600000000000001" customHeight="1" x14ac:dyDescent="0.2">
      <c r="A54" s="509">
        <v>17</v>
      </c>
      <c r="B54" s="1120" t="s">
        <v>492</v>
      </c>
      <c r="C54" s="1166"/>
      <c r="D54" s="1167"/>
      <c r="E54" s="1120" t="s">
        <v>493</v>
      </c>
      <c r="F54" s="1121"/>
      <c r="G54" s="1121"/>
      <c r="H54" s="1122"/>
      <c r="I54" s="1168">
        <v>100</v>
      </c>
      <c r="J54" s="1169"/>
      <c r="K54" s="1169"/>
      <c r="L54" s="1169"/>
      <c r="M54" s="1169"/>
      <c r="N54" s="1121" t="s">
        <v>566</v>
      </c>
      <c r="O54" s="1121"/>
      <c r="P54" s="1121"/>
      <c r="Q54" s="1122"/>
    </row>
    <row r="55" spans="1:17" ht="18.95" customHeight="1" x14ac:dyDescent="0.2">
      <c r="A55" s="509" t="s">
        <v>567</v>
      </c>
      <c r="B55" s="1120" t="s">
        <v>567</v>
      </c>
      <c r="C55" s="1166"/>
      <c r="D55" s="1167"/>
      <c r="E55" s="1120" t="s">
        <v>494</v>
      </c>
      <c r="F55" s="1121"/>
      <c r="G55" s="1121"/>
      <c r="H55" s="1122"/>
      <c r="I55" s="1168">
        <v>65</v>
      </c>
      <c r="J55" s="1169"/>
      <c r="K55" s="1169"/>
      <c r="L55" s="1169"/>
      <c r="M55" s="1169"/>
      <c r="N55" s="1121" t="s">
        <v>566</v>
      </c>
      <c r="O55" s="1121"/>
      <c r="P55" s="1121"/>
      <c r="Q55" s="1122"/>
    </row>
    <row r="56" spans="1:17" ht="18.95" customHeight="1" x14ac:dyDescent="0.2">
      <c r="A56" s="509" t="s">
        <v>567</v>
      </c>
      <c r="B56" s="1120" t="s">
        <v>567</v>
      </c>
      <c r="C56" s="1166"/>
      <c r="D56" s="1167"/>
      <c r="E56" s="1120" t="s">
        <v>496</v>
      </c>
      <c r="F56" s="1121"/>
      <c r="G56" s="1121"/>
      <c r="H56" s="1122"/>
      <c r="I56" s="1168">
        <v>100</v>
      </c>
      <c r="J56" s="1169"/>
      <c r="K56" s="1169"/>
      <c r="L56" s="1169"/>
      <c r="M56" s="1169"/>
      <c r="N56" s="1121" t="s">
        <v>566</v>
      </c>
      <c r="O56" s="1121"/>
      <c r="P56" s="1121"/>
      <c r="Q56" s="1122"/>
    </row>
    <row r="57" spans="1:17" ht="30" customHeight="1" x14ac:dyDescent="0.2">
      <c r="A57" s="509">
        <v>18</v>
      </c>
      <c r="B57" s="1120" t="s">
        <v>497</v>
      </c>
      <c r="C57" s="1166"/>
      <c r="D57" s="1167"/>
      <c r="E57" s="1120" t="s">
        <v>498</v>
      </c>
      <c r="F57" s="1121"/>
      <c r="G57" s="1121"/>
      <c r="H57" s="1122"/>
      <c r="I57" s="1168">
        <v>90</v>
      </c>
      <c r="J57" s="1169"/>
      <c r="K57" s="1169"/>
      <c r="L57" s="1169"/>
      <c r="M57" s="1169"/>
      <c r="N57" s="1121" t="s">
        <v>566</v>
      </c>
      <c r="O57" s="1121"/>
      <c r="P57" s="1121"/>
      <c r="Q57" s="1122"/>
    </row>
    <row r="58" spans="1:17" ht="30" customHeight="1" x14ac:dyDescent="0.2">
      <c r="A58" s="509">
        <v>19</v>
      </c>
      <c r="B58" s="1120" t="s">
        <v>499</v>
      </c>
      <c r="C58" s="1166"/>
      <c r="D58" s="1167"/>
      <c r="E58" s="1120" t="s">
        <v>500</v>
      </c>
      <c r="F58" s="1121"/>
      <c r="G58" s="1121"/>
      <c r="H58" s="1122"/>
      <c r="I58" s="1168">
        <v>95</v>
      </c>
      <c r="J58" s="1169"/>
      <c r="K58" s="1169"/>
      <c r="L58" s="1169"/>
      <c r="M58" s="1169"/>
      <c r="N58" s="1121" t="s">
        <v>566</v>
      </c>
      <c r="O58" s="1121"/>
      <c r="P58" s="1121"/>
      <c r="Q58" s="1122"/>
    </row>
    <row r="59" spans="1:17" ht="30" customHeight="1" x14ac:dyDescent="0.2">
      <c r="A59" s="509">
        <v>20</v>
      </c>
      <c r="B59" s="1120" t="s">
        <v>502</v>
      </c>
      <c r="C59" s="1166"/>
      <c r="D59" s="1167"/>
      <c r="E59" s="1120" t="s">
        <v>503</v>
      </c>
      <c r="F59" s="1121"/>
      <c r="G59" s="1121"/>
      <c r="H59" s="1122"/>
      <c r="I59" s="1168">
        <v>90</v>
      </c>
      <c r="J59" s="1169"/>
      <c r="K59" s="1169"/>
      <c r="L59" s="1169"/>
      <c r="M59" s="1169"/>
      <c r="N59" s="1121" t="s">
        <v>566</v>
      </c>
      <c r="O59" s="1121"/>
      <c r="P59" s="1121"/>
      <c r="Q59" s="1122"/>
    </row>
    <row r="60" spans="1:17" ht="20.45" customHeight="1" x14ac:dyDescent="0.2">
      <c r="A60" s="509" t="s">
        <v>567</v>
      </c>
      <c r="B60" s="1120" t="s">
        <v>567</v>
      </c>
      <c r="C60" s="1166"/>
      <c r="D60" s="1167"/>
      <c r="E60" s="1120" t="s">
        <v>505</v>
      </c>
      <c r="F60" s="1121"/>
      <c r="G60" s="1121"/>
      <c r="H60" s="1122"/>
      <c r="I60" s="1168">
        <v>95</v>
      </c>
      <c r="J60" s="1169"/>
      <c r="K60" s="1169"/>
      <c r="L60" s="1169"/>
      <c r="M60" s="1169"/>
      <c r="N60" s="1121" t="s">
        <v>566</v>
      </c>
      <c r="O60" s="1121"/>
      <c r="P60" s="1121"/>
      <c r="Q60" s="1122"/>
    </row>
    <row r="61" spans="1:17" ht="20.45" customHeight="1" x14ac:dyDescent="0.2">
      <c r="A61" s="509" t="s">
        <v>567</v>
      </c>
      <c r="B61" s="1120" t="s">
        <v>567</v>
      </c>
      <c r="C61" s="1166"/>
      <c r="D61" s="1167"/>
      <c r="E61" s="1120" t="s">
        <v>506</v>
      </c>
      <c r="F61" s="1121"/>
      <c r="G61" s="1121"/>
      <c r="H61" s="1122"/>
      <c r="I61" s="1168">
        <v>70</v>
      </c>
      <c r="J61" s="1169"/>
      <c r="K61" s="1169"/>
      <c r="L61" s="1169"/>
      <c r="M61" s="1169"/>
      <c r="N61" s="1121" t="s">
        <v>566</v>
      </c>
      <c r="O61" s="1121"/>
      <c r="P61" s="1121"/>
      <c r="Q61" s="1122"/>
    </row>
    <row r="62" spans="1:17" ht="30" customHeight="1" x14ac:dyDescent="0.2">
      <c r="A62" s="509">
        <v>21</v>
      </c>
      <c r="B62" s="1120" t="s">
        <v>508</v>
      </c>
      <c r="C62" s="1166"/>
      <c r="D62" s="1167"/>
      <c r="E62" s="1120" t="s">
        <v>509</v>
      </c>
      <c r="F62" s="1121"/>
      <c r="G62" s="1121"/>
      <c r="H62" s="1122"/>
      <c r="I62" s="1168">
        <v>90</v>
      </c>
      <c r="J62" s="1169"/>
      <c r="K62" s="1169"/>
      <c r="L62" s="1169"/>
      <c r="M62" s="1169"/>
      <c r="N62" s="1121" t="s">
        <v>566</v>
      </c>
      <c r="O62" s="1121"/>
      <c r="P62" s="1121"/>
      <c r="Q62" s="1122"/>
    </row>
    <row r="63" spans="1:17" ht="30" customHeight="1" x14ac:dyDescent="0.2">
      <c r="A63" s="509">
        <v>22</v>
      </c>
      <c r="B63" s="1120" t="s">
        <v>510</v>
      </c>
      <c r="C63" s="1166"/>
      <c r="D63" s="1167"/>
      <c r="E63" s="1120" t="s">
        <v>511</v>
      </c>
      <c r="F63" s="1121"/>
      <c r="G63" s="1121"/>
      <c r="H63" s="1122"/>
      <c r="I63" s="1168">
        <v>12</v>
      </c>
      <c r="J63" s="1169"/>
      <c r="K63" s="1169"/>
      <c r="L63" s="1169"/>
      <c r="M63" s="1169"/>
      <c r="N63" s="1121" t="s">
        <v>579</v>
      </c>
      <c r="O63" s="1121"/>
      <c r="P63" s="1121"/>
      <c r="Q63" s="1122"/>
    </row>
    <row r="64" spans="1:17" ht="30" customHeight="1" x14ac:dyDescent="0.2">
      <c r="A64" s="509" t="s">
        <v>567</v>
      </c>
      <c r="B64" s="1120" t="s">
        <v>567</v>
      </c>
      <c r="C64" s="1166"/>
      <c r="D64" s="1167"/>
      <c r="E64" s="1120" t="s">
        <v>513</v>
      </c>
      <c r="F64" s="1121"/>
      <c r="G64" s="1121"/>
      <c r="H64" s="1122"/>
      <c r="I64" s="1168">
        <v>100</v>
      </c>
      <c r="J64" s="1169"/>
      <c r="K64" s="1169"/>
      <c r="L64" s="1169"/>
      <c r="M64" s="1169"/>
      <c r="N64" s="1121" t="s">
        <v>566</v>
      </c>
      <c r="O64" s="1121"/>
      <c r="P64" s="1121"/>
      <c r="Q64" s="1122"/>
    </row>
    <row r="65" spans="1:17" ht="18" customHeight="1" x14ac:dyDescent="0.2">
      <c r="A65" s="509">
        <v>23</v>
      </c>
      <c r="B65" s="1120" t="s">
        <v>514</v>
      </c>
      <c r="C65" s="1166"/>
      <c r="D65" s="1167"/>
      <c r="E65" s="1120" t="s">
        <v>515</v>
      </c>
      <c r="F65" s="1121"/>
      <c r="G65" s="1121"/>
      <c r="H65" s="1122"/>
      <c r="I65" s="1168">
        <v>1</v>
      </c>
      <c r="J65" s="1169"/>
      <c r="K65" s="1169"/>
      <c r="L65" s="1169"/>
      <c r="M65" s="1169"/>
      <c r="N65" s="1121" t="s">
        <v>580</v>
      </c>
      <c r="O65" s="1121"/>
      <c r="P65" s="1121"/>
      <c r="Q65" s="1122"/>
    </row>
    <row r="66" spans="1:17" ht="30" customHeight="1" x14ac:dyDescent="0.2">
      <c r="A66" s="509" t="s">
        <v>567</v>
      </c>
      <c r="B66" s="1120" t="s">
        <v>567</v>
      </c>
      <c r="C66" s="1166"/>
      <c r="D66" s="1167"/>
      <c r="E66" s="1120" t="s">
        <v>517</v>
      </c>
      <c r="F66" s="1121"/>
      <c r="G66" s="1121"/>
      <c r="H66" s="1122"/>
      <c r="I66" s="1168">
        <v>80</v>
      </c>
      <c r="J66" s="1169"/>
      <c r="K66" s="1169"/>
      <c r="L66" s="1169"/>
      <c r="M66" s="1169"/>
      <c r="N66" s="1121" t="s">
        <v>566</v>
      </c>
      <c r="O66" s="1121"/>
      <c r="P66" s="1121"/>
      <c r="Q66" s="1122"/>
    </row>
    <row r="67" spans="1:17" ht="30" customHeight="1" x14ac:dyDescent="0.2">
      <c r="A67" s="509">
        <v>24</v>
      </c>
      <c r="B67" s="1120" t="s">
        <v>518</v>
      </c>
      <c r="C67" s="1166"/>
      <c r="D67" s="1167"/>
      <c r="E67" s="1120" t="s">
        <v>519</v>
      </c>
      <c r="F67" s="1121"/>
      <c r="G67" s="1121"/>
      <c r="H67" s="1122"/>
      <c r="I67" s="1168">
        <v>33</v>
      </c>
      <c r="J67" s="1169"/>
      <c r="K67" s="1169"/>
      <c r="L67" s="1169"/>
      <c r="M67" s="1169"/>
      <c r="N67" s="1121" t="s">
        <v>578</v>
      </c>
      <c r="O67" s="1121"/>
      <c r="P67" s="1121"/>
      <c r="Q67" s="1122"/>
    </row>
    <row r="68" spans="1:17" ht="30" customHeight="1" x14ac:dyDescent="0.2">
      <c r="A68" s="509">
        <v>25</v>
      </c>
      <c r="B68" s="1120" t="s">
        <v>676</v>
      </c>
      <c r="C68" s="1166"/>
      <c r="D68" s="1167"/>
      <c r="E68" s="1120" t="s">
        <v>679</v>
      </c>
      <c r="F68" s="1121"/>
      <c r="G68" s="1121"/>
      <c r="H68" s="1122"/>
      <c r="I68" s="1168">
        <v>95</v>
      </c>
      <c r="J68" s="1169"/>
      <c r="K68" s="1169"/>
      <c r="L68" s="1169"/>
      <c r="M68" s="1169"/>
      <c r="N68" s="1121" t="s">
        <v>566</v>
      </c>
      <c r="O68" s="1121"/>
      <c r="P68" s="1121"/>
      <c r="Q68" s="1122"/>
    </row>
    <row r="69" spans="1:17" ht="45" customHeight="1" x14ac:dyDescent="0.2">
      <c r="A69" s="509">
        <v>26</v>
      </c>
      <c r="B69" s="1120" t="s">
        <v>677</v>
      </c>
      <c r="C69" s="1166"/>
      <c r="D69" s="1167"/>
      <c r="E69" s="1120" t="s">
        <v>678</v>
      </c>
      <c r="F69" s="1121"/>
      <c r="G69" s="1121"/>
      <c r="H69" s="1122"/>
      <c r="I69" s="1168">
        <v>95</v>
      </c>
      <c r="J69" s="1169"/>
      <c r="K69" s="1169"/>
      <c r="L69" s="1169"/>
      <c r="M69" s="1169"/>
      <c r="N69" s="1121" t="s">
        <v>566</v>
      </c>
      <c r="O69" s="1121"/>
      <c r="P69" s="1121"/>
      <c r="Q69" s="1122"/>
    </row>
    <row r="70" spans="1:17" ht="30" customHeight="1" x14ac:dyDescent="0.2">
      <c r="A70" s="503"/>
      <c r="B70" s="504"/>
      <c r="C70" s="505"/>
      <c r="D70" s="505"/>
      <c r="E70" s="504"/>
      <c r="F70" s="505"/>
      <c r="G70" s="505"/>
      <c r="H70" s="505"/>
      <c r="I70" s="506"/>
      <c r="J70" s="507"/>
      <c r="K70" s="507"/>
      <c r="L70" s="507"/>
      <c r="M70" s="507"/>
      <c r="N70" s="507"/>
      <c r="O70" s="507"/>
      <c r="P70" s="507"/>
      <c r="Q70" s="508"/>
    </row>
    <row r="71" spans="1:17" ht="15.75" customHeight="1" x14ac:dyDescent="0.2">
      <c r="A71" s="1119" t="s">
        <v>366</v>
      </c>
      <c r="B71" s="1117"/>
      <c r="C71" s="1117"/>
      <c r="D71" s="1117"/>
      <c r="E71" s="1117"/>
      <c r="F71" s="1117"/>
      <c r="G71" s="1117"/>
      <c r="H71" s="1117"/>
      <c r="I71" s="1117"/>
      <c r="J71" s="1117"/>
      <c r="K71" s="1117"/>
      <c r="L71" s="1117"/>
      <c r="M71" s="1117"/>
      <c r="N71" s="1117"/>
      <c r="O71" s="1117"/>
      <c r="P71" s="1117"/>
      <c r="Q71" s="1118"/>
    </row>
    <row r="72" spans="1:17" ht="48" customHeight="1" x14ac:dyDescent="0.2">
      <c r="A72" s="509">
        <v>1</v>
      </c>
      <c r="B72" s="1120" t="s">
        <v>585</v>
      </c>
      <c r="C72" s="1166"/>
      <c r="D72" s="1167"/>
      <c r="E72" s="1120" t="s">
        <v>586</v>
      </c>
      <c r="F72" s="1121"/>
      <c r="G72" s="1121"/>
      <c r="H72" s="1122"/>
      <c r="I72" s="1168">
        <v>6</v>
      </c>
      <c r="J72" s="1169"/>
      <c r="K72" s="1169"/>
      <c r="L72" s="1169"/>
      <c r="M72" s="1169"/>
      <c r="N72" s="1121" t="s">
        <v>202</v>
      </c>
      <c r="O72" s="1121"/>
      <c r="P72" s="1121"/>
      <c r="Q72" s="1122"/>
    </row>
    <row r="73" spans="1:17" ht="15.75" customHeight="1" x14ac:dyDescent="0.2">
      <c r="A73" s="509"/>
      <c r="B73" s="1120"/>
      <c r="C73" s="1121"/>
      <c r="D73" s="1122"/>
      <c r="E73" s="1120"/>
      <c r="F73" s="1121"/>
      <c r="G73" s="1121"/>
      <c r="H73" s="1122"/>
      <c r="I73" s="1123"/>
      <c r="J73" s="1117"/>
      <c r="K73" s="1117"/>
      <c r="L73" s="1117"/>
      <c r="M73" s="1117"/>
      <c r="N73" s="1117"/>
      <c r="O73" s="1117"/>
      <c r="P73" s="1117"/>
      <c r="Q73" s="1118"/>
    </row>
    <row r="74" spans="1:17" ht="15.75" customHeight="1" x14ac:dyDescent="0.2"/>
    <row r="75" spans="1:17" ht="15.75" customHeight="1" x14ac:dyDescent="0.2"/>
    <row r="76" spans="1:17" ht="15.75" customHeight="1" x14ac:dyDescent="0.2">
      <c r="J76" s="485" t="str">
        <f>"Sleman, "&amp;PERIODE!E10</f>
        <v>Sleman, 12 Juli 2021</v>
      </c>
    </row>
    <row r="77" spans="1:17" ht="15.75" customHeight="1" x14ac:dyDescent="0.2">
      <c r="B77" s="485" t="s">
        <v>522</v>
      </c>
      <c r="J77" s="485" t="s">
        <v>523</v>
      </c>
    </row>
    <row r="78" spans="1:17" ht="15.75" customHeight="1" x14ac:dyDescent="0.2"/>
    <row r="79" spans="1:17" ht="15.75" customHeight="1" x14ac:dyDescent="0.2"/>
    <row r="80" spans="1:17" ht="15.75" customHeight="1" x14ac:dyDescent="0.2"/>
    <row r="81" spans="2:10" ht="15.75" customHeight="1" x14ac:dyDescent="0.2"/>
    <row r="82" spans="2:10" ht="15.75" customHeight="1" x14ac:dyDescent="0.2">
      <c r="B82" s="485" t="str">
        <f>'DATA SKP2'!F12</f>
        <v>Drs. Busyroni Majid, M.Si</v>
      </c>
      <c r="J82" s="485" t="str">
        <f>J8</f>
        <v>H. SIDIK PRAMONO, S.Ag, M.Si.</v>
      </c>
    </row>
    <row r="83" spans="2:10" ht="15.75" customHeight="1" x14ac:dyDescent="0.2">
      <c r="B83" s="485" t="str">
        <f>"NIP. "&amp;'DATA SKP2'!F13</f>
        <v>NIP. 19690921 199503 1 001</v>
      </c>
      <c r="J83" s="485" t="str">
        <f>"NIP. "&amp;J9</f>
        <v>NIP. 19700303 199703 1 004</v>
      </c>
    </row>
    <row r="84" spans="2:10" ht="15.75" customHeight="1" x14ac:dyDescent="0.2"/>
  </sheetData>
  <mergeCells count="241">
    <mergeCell ref="A9:B9"/>
    <mergeCell ref="A10:B10"/>
    <mergeCell ref="A11:B11"/>
    <mergeCell ref="A12:B12"/>
    <mergeCell ref="B13:D13"/>
    <mergeCell ref="E13:H13"/>
    <mergeCell ref="A1:Q1"/>
    <mergeCell ref="A2:Q2"/>
    <mergeCell ref="D5:G5"/>
    <mergeCell ref="A7:G7"/>
    <mergeCell ref="H7:Q7"/>
    <mergeCell ref="A8:B8"/>
    <mergeCell ref="I13:Q13"/>
    <mergeCell ref="B14:D14"/>
    <mergeCell ref="E14:H14"/>
    <mergeCell ref="I14:Q14"/>
    <mergeCell ref="A15:Q15"/>
    <mergeCell ref="B16:D16"/>
    <mergeCell ref="E16:H16"/>
    <mergeCell ref="I16:M16"/>
    <mergeCell ref="N16:Q16"/>
    <mergeCell ref="B19:D19"/>
    <mergeCell ref="E19:H19"/>
    <mergeCell ref="I19:M19"/>
    <mergeCell ref="N19:Q19"/>
    <mergeCell ref="B20:D20"/>
    <mergeCell ref="E20:H20"/>
    <mergeCell ref="I20:M20"/>
    <mergeCell ref="N20:Q20"/>
    <mergeCell ref="B17:D17"/>
    <mergeCell ref="E17:H17"/>
    <mergeCell ref="I17:M17"/>
    <mergeCell ref="N17:Q17"/>
    <mergeCell ref="B18:D18"/>
    <mergeCell ref="E18:H18"/>
    <mergeCell ref="I18:M18"/>
    <mergeCell ref="N18:Q18"/>
    <mergeCell ref="B23:D23"/>
    <mergeCell ref="E23:H23"/>
    <mergeCell ref="I23:M23"/>
    <mergeCell ref="N23:Q23"/>
    <mergeCell ref="B24:D24"/>
    <mergeCell ref="E24:H24"/>
    <mergeCell ref="I24:M24"/>
    <mergeCell ref="N24:Q24"/>
    <mergeCell ref="B21:D21"/>
    <mergeCell ref="E21:H21"/>
    <mergeCell ref="I21:M21"/>
    <mergeCell ref="N21:Q21"/>
    <mergeCell ref="B22:D22"/>
    <mergeCell ref="E22:H22"/>
    <mergeCell ref="I22:M22"/>
    <mergeCell ref="N22:Q22"/>
    <mergeCell ref="B27:D27"/>
    <mergeCell ref="E27:H27"/>
    <mergeCell ref="I27:M27"/>
    <mergeCell ref="N27:Q27"/>
    <mergeCell ref="B28:D28"/>
    <mergeCell ref="E28:H28"/>
    <mergeCell ref="I28:M28"/>
    <mergeCell ref="N28:Q28"/>
    <mergeCell ref="B25:D25"/>
    <mergeCell ref="E25:H25"/>
    <mergeCell ref="I25:M25"/>
    <mergeCell ref="N25:Q25"/>
    <mergeCell ref="B26:D26"/>
    <mergeCell ref="E26:H26"/>
    <mergeCell ref="I26:M26"/>
    <mergeCell ref="N26:Q26"/>
    <mergeCell ref="B31:D31"/>
    <mergeCell ref="E31:H31"/>
    <mergeCell ref="I31:M31"/>
    <mergeCell ref="N31:Q31"/>
    <mergeCell ref="B32:D32"/>
    <mergeCell ref="E32:H32"/>
    <mergeCell ref="I32:M32"/>
    <mergeCell ref="N32:Q32"/>
    <mergeCell ref="B29:D29"/>
    <mergeCell ref="E29:H29"/>
    <mergeCell ref="I29:M29"/>
    <mergeCell ref="N29:Q29"/>
    <mergeCell ref="B30:D30"/>
    <mergeCell ref="E30:H30"/>
    <mergeCell ref="I30:M30"/>
    <mergeCell ref="N30:Q30"/>
    <mergeCell ref="B35:D35"/>
    <mergeCell ref="E35:H35"/>
    <mergeCell ref="I35:M35"/>
    <mergeCell ref="N35:Q35"/>
    <mergeCell ref="B36:D36"/>
    <mergeCell ref="E36:H36"/>
    <mergeCell ref="I36:M36"/>
    <mergeCell ref="N36:Q36"/>
    <mergeCell ref="B33:D33"/>
    <mergeCell ref="E33:H33"/>
    <mergeCell ref="I33:M33"/>
    <mergeCell ref="N33:Q33"/>
    <mergeCell ref="B34:D34"/>
    <mergeCell ref="E34:H34"/>
    <mergeCell ref="I34:M34"/>
    <mergeCell ref="N34:Q34"/>
    <mergeCell ref="B39:D39"/>
    <mergeCell ref="E39:H39"/>
    <mergeCell ref="I39:M39"/>
    <mergeCell ref="N39:Q39"/>
    <mergeCell ref="B40:D40"/>
    <mergeCell ref="E40:H40"/>
    <mergeCell ref="I40:M40"/>
    <mergeCell ref="N40:Q40"/>
    <mergeCell ref="B37:D37"/>
    <mergeCell ref="E37:H37"/>
    <mergeCell ref="I37:M37"/>
    <mergeCell ref="N37:Q37"/>
    <mergeCell ref="B38:D38"/>
    <mergeCell ref="E38:H38"/>
    <mergeCell ref="I38:M38"/>
    <mergeCell ref="N38:Q38"/>
    <mergeCell ref="B43:D43"/>
    <mergeCell ref="E43:H43"/>
    <mergeCell ref="I43:M43"/>
    <mergeCell ref="N43:Q43"/>
    <mergeCell ref="B44:D44"/>
    <mergeCell ref="E44:H44"/>
    <mergeCell ref="I44:M44"/>
    <mergeCell ref="N44:Q44"/>
    <mergeCell ref="B41:D41"/>
    <mergeCell ref="E41:H41"/>
    <mergeCell ref="I41:M41"/>
    <mergeCell ref="N41:Q41"/>
    <mergeCell ref="B42:D42"/>
    <mergeCell ref="E42:H42"/>
    <mergeCell ref="I42:M42"/>
    <mergeCell ref="N42:Q42"/>
    <mergeCell ref="B47:D47"/>
    <mergeCell ref="E47:H47"/>
    <mergeCell ref="I47:M47"/>
    <mergeCell ref="N47:Q47"/>
    <mergeCell ref="B48:D48"/>
    <mergeCell ref="E48:H48"/>
    <mergeCell ref="I48:M48"/>
    <mergeCell ref="N48:Q48"/>
    <mergeCell ref="B45:D45"/>
    <mergeCell ref="E45:H45"/>
    <mergeCell ref="I45:M45"/>
    <mergeCell ref="N45:Q45"/>
    <mergeCell ref="B46:D46"/>
    <mergeCell ref="E46:H46"/>
    <mergeCell ref="I46:M46"/>
    <mergeCell ref="N46:Q46"/>
    <mergeCell ref="B51:D51"/>
    <mergeCell ref="E51:H51"/>
    <mergeCell ref="I51:M51"/>
    <mergeCell ref="N51:Q51"/>
    <mergeCell ref="B52:D52"/>
    <mergeCell ref="E52:H52"/>
    <mergeCell ref="I52:M52"/>
    <mergeCell ref="N52:Q52"/>
    <mergeCell ref="B49:D49"/>
    <mergeCell ref="E49:H49"/>
    <mergeCell ref="I49:M49"/>
    <mergeCell ref="N49:Q49"/>
    <mergeCell ref="B50:D50"/>
    <mergeCell ref="E50:H50"/>
    <mergeCell ref="I50:M50"/>
    <mergeCell ref="N50:Q50"/>
    <mergeCell ref="B55:D55"/>
    <mergeCell ref="E55:H55"/>
    <mergeCell ref="I55:M55"/>
    <mergeCell ref="N55:Q55"/>
    <mergeCell ref="B56:D56"/>
    <mergeCell ref="E56:H56"/>
    <mergeCell ref="I56:M56"/>
    <mergeCell ref="N56:Q56"/>
    <mergeCell ref="B53:D53"/>
    <mergeCell ref="E53:H53"/>
    <mergeCell ref="I53:M53"/>
    <mergeCell ref="N53:Q53"/>
    <mergeCell ref="B54:D54"/>
    <mergeCell ref="E54:H54"/>
    <mergeCell ref="I54:M54"/>
    <mergeCell ref="N54:Q54"/>
    <mergeCell ref="B59:D59"/>
    <mergeCell ref="E59:H59"/>
    <mergeCell ref="I59:M59"/>
    <mergeCell ref="N59:Q59"/>
    <mergeCell ref="B60:D60"/>
    <mergeCell ref="E60:H60"/>
    <mergeCell ref="I60:M60"/>
    <mergeCell ref="N60:Q60"/>
    <mergeCell ref="B57:D57"/>
    <mergeCell ref="E57:H57"/>
    <mergeCell ref="I57:M57"/>
    <mergeCell ref="N57:Q57"/>
    <mergeCell ref="B58:D58"/>
    <mergeCell ref="E58:H58"/>
    <mergeCell ref="I58:M58"/>
    <mergeCell ref="N58:Q58"/>
    <mergeCell ref="B63:D63"/>
    <mergeCell ref="E63:H63"/>
    <mergeCell ref="I63:M63"/>
    <mergeCell ref="N63:Q63"/>
    <mergeCell ref="B64:D64"/>
    <mergeCell ref="E64:H64"/>
    <mergeCell ref="I64:M64"/>
    <mergeCell ref="N64:Q64"/>
    <mergeCell ref="B61:D61"/>
    <mergeCell ref="E61:H61"/>
    <mergeCell ref="I61:M61"/>
    <mergeCell ref="N61:Q61"/>
    <mergeCell ref="B62:D62"/>
    <mergeCell ref="E62:H62"/>
    <mergeCell ref="I62:M62"/>
    <mergeCell ref="N62:Q62"/>
    <mergeCell ref="B67:D67"/>
    <mergeCell ref="E67:H67"/>
    <mergeCell ref="I67:M67"/>
    <mergeCell ref="N67:Q67"/>
    <mergeCell ref="B68:D68"/>
    <mergeCell ref="E68:H68"/>
    <mergeCell ref="I68:M68"/>
    <mergeCell ref="N68:Q68"/>
    <mergeCell ref="B65:D65"/>
    <mergeCell ref="E65:H65"/>
    <mergeCell ref="I65:M65"/>
    <mergeCell ref="N65:Q65"/>
    <mergeCell ref="B66:D66"/>
    <mergeCell ref="E66:H66"/>
    <mergeCell ref="I66:M66"/>
    <mergeCell ref="N66:Q66"/>
    <mergeCell ref="B73:D73"/>
    <mergeCell ref="E73:H73"/>
    <mergeCell ref="I73:Q73"/>
    <mergeCell ref="B69:D69"/>
    <mergeCell ref="E69:H69"/>
    <mergeCell ref="I69:M69"/>
    <mergeCell ref="N69:Q69"/>
    <mergeCell ref="A71:Q71"/>
    <mergeCell ref="B72:D72"/>
    <mergeCell ref="E72:H72"/>
    <mergeCell ref="I72:M72"/>
    <mergeCell ref="N72:Q72"/>
  </mergeCells>
  <pageMargins left="0.75" right="0.511811023622047" top="0.74803149606299202" bottom="0.511811023622047" header="0" footer="0"/>
  <pageSetup paperSize="9" scale="80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B1:AK77"/>
  <sheetViews>
    <sheetView view="pageBreakPreview" zoomScale="80" zoomScaleNormal="100" zoomScaleSheetLayoutView="80" workbookViewId="0">
      <selection activeCell="F33" sqref="F33:H35"/>
    </sheetView>
  </sheetViews>
  <sheetFormatPr defaultColWidth="14.42578125" defaultRowHeight="15" customHeight="1" x14ac:dyDescent="0.2"/>
  <cols>
    <col min="1" max="1" width="7.42578125" style="484" customWidth="1"/>
    <col min="2" max="2" width="5.7109375" style="484" customWidth="1"/>
    <col min="3" max="3" width="6.140625" style="484" customWidth="1"/>
    <col min="4" max="4" width="2.140625" style="484" customWidth="1"/>
    <col min="5" max="5" width="5.5703125" style="725" customWidth="1"/>
    <col min="6" max="6" width="17.85546875" style="485" customWidth="1"/>
    <col min="7" max="7" width="2.42578125" style="485" customWidth="1"/>
    <col min="8" max="8" width="14.42578125" style="485" customWidth="1"/>
    <col min="9" max="9" width="17.85546875" style="485" customWidth="1"/>
    <col min="10" max="11" width="8.7109375" style="485" customWidth="1"/>
    <col min="12" max="12" width="20.140625" style="485" customWidth="1"/>
    <col min="13" max="13" width="2.42578125" style="485" customWidth="1"/>
    <col min="14" max="15" width="8.7109375" style="485" customWidth="1"/>
    <col min="16" max="16" width="19" style="485" customWidth="1"/>
    <col min="17" max="17" width="4.140625" style="725" customWidth="1"/>
    <col min="18" max="18" width="2.42578125" style="725" customWidth="1"/>
    <col min="19" max="19" width="5.85546875" style="725" customWidth="1"/>
    <col min="20" max="20" width="14.42578125" style="485" customWidth="1"/>
    <col min="21" max="27" width="8.7109375" style="484" customWidth="1"/>
    <col min="28" max="28" width="5" style="484" hidden="1" customWidth="1"/>
    <col min="29" max="16384" width="14.42578125" style="484"/>
  </cols>
  <sheetData>
    <row r="1" spans="2:28" ht="15" customHeight="1" x14ac:dyDescent="0.2">
      <c r="F1" s="1103" t="s">
        <v>588</v>
      </c>
      <c r="G1" s="1234"/>
      <c r="H1" s="1234"/>
      <c r="I1" s="1234"/>
      <c r="J1" s="1234"/>
      <c r="K1" s="1234"/>
      <c r="L1" s="1234"/>
      <c r="M1" s="1234"/>
      <c r="N1" s="1234"/>
      <c r="O1" s="1234"/>
      <c r="P1" s="1234"/>
      <c r="Q1" s="1234"/>
      <c r="R1" s="1234"/>
      <c r="S1" s="1234"/>
      <c r="T1" s="1234"/>
    </row>
    <row r="2" spans="2:28" s="746" customFormat="1" ht="15" customHeight="1" x14ac:dyDescent="0.2">
      <c r="E2" s="725"/>
      <c r="F2" s="1103" t="str">
        <f>UPPER('DATA SKP2'!F9&amp;" "&amp;'DATA SKP2'!F3)</f>
        <v>GURU PERTAMA MTS NEGERI 5 SLEMAN</v>
      </c>
      <c r="G2" s="1234"/>
      <c r="H2" s="1234"/>
      <c r="I2" s="1234"/>
      <c r="J2" s="1234"/>
      <c r="K2" s="1234"/>
      <c r="L2" s="1234"/>
      <c r="M2" s="1234"/>
      <c r="N2" s="1234"/>
      <c r="O2" s="1234"/>
      <c r="P2" s="1234"/>
      <c r="Q2" s="1234"/>
      <c r="R2" s="1234"/>
      <c r="S2" s="1234"/>
      <c r="T2" s="1234"/>
    </row>
    <row r="3" spans="2:28" s="746" customFormat="1" ht="10.5" customHeight="1" x14ac:dyDescent="0.2">
      <c r="E3" s="72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725"/>
      <c r="R3" s="725"/>
      <c r="S3" s="725"/>
      <c r="T3" s="485"/>
    </row>
    <row r="4" spans="2:28" s="746" customFormat="1" ht="15" customHeight="1" x14ac:dyDescent="0.2">
      <c r="E4" s="725"/>
      <c r="F4" s="485"/>
      <c r="G4" s="485"/>
      <c r="H4" s="485"/>
      <c r="I4" s="485"/>
      <c r="J4" s="485"/>
      <c r="K4" s="485"/>
      <c r="L4" s="485"/>
      <c r="M4" s="485"/>
      <c r="N4" s="485" t="s">
        <v>349</v>
      </c>
      <c r="O4" s="485"/>
      <c r="P4" s="485"/>
      <c r="Q4" s="725"/>
      <c r="R4" s="725"/>
      <c r="S4" s="725"/>
      <c r="T4" s="485"/>
    </row>
    <row r="5" spans="2:28" s="749" customFormat="1" ht="15" customHeight="1" x14ac:dyDescent="0.2">
      <c r="E5" s="1235" t="s">
        <v>420</v>
      </c>
      <c r="F5" s="1235"/>
      <c r="G5" s="747" t="s">
        <v>16</v>
      </c>
      <c r="H5" s="1236" t="str">
        <f>'DATA SKP2'!F3</f>
        <v>MTs Negeri 5 Sleman</v>
      </c>
      <c r="I5" s="1236"/>
      <c r="J5" s="1236"/>
      <c r="K5" s="1236"/>
      <c r="L5" s="485"/>
      <c r="M5" s="747"/>
      <c r="N5" s="748" t="str">
        <f>'DATA SKP2'!F4</f>
        <v>01 Juli s.d. 31 Desember 2021</v>
      </c>
      <c r="O5" s="748"/>
      <c r="P5" s="748"/>
      <c r="Q5" s="747"/>
      <c r="R5" s="747"/>
      <c r="S5" s="747"/>
      <c r="T5" s="748"/>
    </row>
    <row r="6" spans="2:28" s="749" customFormat="1" ht="10.5" customHeight="1" x14ac:dyDescent="0.2">
      <c r="E6" s="750"/>
      <c r="F6" s="750"/>
      <c r="G6" s="747"/>
      <c r="H6" s="751"/>
      <c r="I6" s="751"/>
      <c r="J6" s="751"/>
      <c r="K6" s="751"/>
      <c r="L6" s="485"/>
      <c r="M6" s="747"/>
      <c r="N6" s="748"/>
      <c r="O6" s="748"/>
      <c r="P6" s="748"/>
      <c r="Q6" s="747"/>
      <c r="R6" s="747"/>
      <c r="S6" s="747"/>
      <c r="T6" s="748"/>
    </row>
    <row r="7" spans="2:28" s="749" customFormat="1" ht="15" customHeight="1" x14ac:dyDescent="0.2">
      <c r="E7" s="1237" t="s">
        <v>85</v>
      </c>
      <c r="F7" s="1238"/>
      <c r="G7" s="1238"/>
      <c r="H7" s="1238"/>
      <c r="I7" s="1238"/>
      <c r="J7" s="1238"/>
      <c r="K7" s="1239"/>
      <c r="L7" s="1240" t="s">
        <v>86</v>
      </c>
      <c r="M7" s="1241"/>
      <c r="N7" s="1241"/>
      <c r="O7" s="1241"/>
      <c r="P7" s="1241"/>
      <c r="Q7" s="1241"/>
      <c r="R7" s="1241"/>
      <c r="S7" s="1241"/>
      <c r="T7" s="1242"/>
    </row>
    <row r="8" spans="2:28" s="749" customFormat="1" ht="15" customHeight="1" x14ac:dyDescent="0.2">
      <c r="E8" s="1243" t="s">
        <v>2</v>
      </c>
      <c r="F8" s="1244"/>
      <c r="G8" s="752" t="s">
        <v>16</v>
      </c>
      <c r="H8" s="753" t="str">
        <f>'DATA SKP2'!F6</f>
        <v>Sirajudin, S.Pd</v>
      </c>
      <c r="I8" s="753"/>
      <c r="J8" s="753"/>
      <c r="K8" s="753"/>
      <c r="L8" s="754" t="s">
        <v>2</v>
      </c>
      <c r="M8" s="755" t="s">
        <v>16</v>
      </c>
      <c r="N8" s="753" t="str">
        <f>'DATA SKP2'!F12</f>
        <v>Drs. Busyroni Majid, M.Si</v>
      </c>
      <c r="O8" s="753"/>
      <c r="P8" s="753"/>
      <c r="Q8" s="756"/>
      <c r="R8" s="756"/>
      <c r="S8" s="756"/>
      <c r="T8" s="757"/>
    </row>
    <row r="9" spans="2:28" s="749" customFormat="1" ht="15" customHeight="1" x14ac:dyDescent="0.2">
      <c r="E9" s="1243" t="s">
        <v>3</v>
      </c>
      <c r="F9" s="1244"/>
      <c r="G9" s="752" t="s">
        <v>16</v>
      </c>
      <c r="H9" s="753" t="str">
        <f>'DATA SKP2'!F7</f>
        <v>19730115 200710 1 001</v>
      </c>
      <c r="I9" s="753"/>
      <c r="J9" s="753"/>
      <c r="K9" s="753"/>
      <c r="L9" s="754" t="s">
        <v>3</v>
      </c>
      <c r="M9" s="755" t="s">
        <v>16</v>
      </c>
      <c r="N9" s="753" t="str">
        <f>'DATA SKP2'!F13</f>
        <v>19690921 199503 1 001</v>
      </c>
      <c r="O9" s="753"/>
      <c r="P9" s="753"/>
      <c r="Q9" s="756"/>
      <c r="R9" s="756"/>
      <c r="S9" s="756"/>
      <c r="T9" s="757"/>
    </row>
    <row r="10" spans="2:28" s="749" customFormat="1" ht="15" customHeight="1" x14ac:dyDescent="0.2">
      <c r="E10" s="1243" t="s">
        <v>106</v>
      </c>
      <c r="F10" s="1244"/>
      <c r="G10" s="752" t="s">
        <v>16</v>
      </c>
      <c r="H10" s="753" t="str">
        <f>'DATA SKP2'!F8</f>
        <v>Penata Muda, Gol. III/a</v>
      </c>
      <c r="I10" s="753"/>
      <c r="J10" s="753"/>
      <c r="K10" s="753"/>
      <c r="L10" s="754" t="s">
        <v>106</v>
      </c>
      <c r="M10" s="755" t="s">
        <v>16</v>
      </c>
      <c r="N10" s="753" t="str">
        <f>'DATA SKP2'!F14</f>
        <v>Pembina, Gol. IV/a</v>
      </c>
      <c r="O10" s="753"/>
      <c r="P10" s="753"/>
      <c r="Q10" s="756"/>
      <c r="R10" s="756"/>
      <c r="S10" s="756"/>
      <c r="T10" s="757"/>
    </row>
    <row r="11" spans="2:28" s="749" customFormat="1" ht="15" customHeight="1" x14ac:dyDescent="0.2">
      <c r="E11" s="1243" t="s">
        <v>4</v>
      </c>
      <c r="F11" s="1244"/>
      <c r="G11" s="752" t="s">
        <v>16</v>
      </c>
      <c r="H11" s="753" t="str">
        <f>'DATA SKP2'!F9</f>
        <v>Guru Pertama</v>
      </c>
      <c r="I11" s="753"/>
      <c r="J11" s="753"/>
      <c r="K11" s="753"/>
      <c r="L11" s="754" t="s">
        <v>4</v>
      </c>
      <c r="M11" s="755" t="s">
        <v>16</v>
      </c>
      <c r="N11" s="753" t="str">
        <f>'DATA SKP2'!G15</f>
        <v>Kepala Madrasah</v>
      </c>
      <c r="O11" s="830"/>
      <c r="P11" s="830"/>
      <c r="Q11" s="830"/>
      <c r="R11" s="830"/>
      <c r="S11" s="830"/>
      <c r="T11" s="831"/>
    </row>
    <row r="12" spans="2:28" s="749" customFormat="1" ht="15" customHeight="1" thickBot="1" x14ac:dyDescent="0.25">
      <c r="E12" s="1232" t="s">
        <v>5</v>
      </c>
      <c r="F12" s="1233"/>
      <c r="G12" s="758" t="s">
        <v>16</v>
      </c>
      <c r="H12" s="753" t="str">
        <f>'DATA SKP2'!F10</f>
        <v>MTs Negeri 5 Sleman</v>
      </c>
      <c r="I12" s="759"/>
      <c r="J12" s="759"/>
      <c r="K12" s="759"/>
      <c r="L12" s="760" t="s">
        <v>5</v>
      </c>
      <c r="M12" s="761" t="s">
        <v>16</v>
      </c>
      <c r="N12" s="753" t="str">
        <f>'DATA SKP2'!F16</f>
        <v>MTs Negeri 5 Sleman</v>
      </c>
      <c r="O12" s="832"/>
      <c r="P12" s="832"/>
      <c r="Q12" s="832"/>
      <c r="R12" s="832"/>
      <c r="S12" s="832"/>
      <c r="T12" s="833"/>
    </row>
    <row r="13" spans="2:28" s="762" customFormat="1" ht="49.5" customHeight="1" x14ac:dyDescent="0.2">
      <c r="E13" s="729" t="s">
        <v>1</v>
      </c>
      <c r="F13" s="1245" t="s">
        <v>350</v>
      </c>
      <c r="G13" s="1246"/>
      <c r="H13" s="1246"/>
      <c r="I13" s="1216" t="s">
        <v>351</v>
      </c>
      <c r="J13" s="1246"/>
      <c r="K13" s="1246"/>
      <c r="L13" s="729" t="s">
        <v>352</v>
      </c>
      <c r="M13" s="1245" t="s">
        <v>353</v>
      </c>
      <c r="N13" s="1245"/>
      <c r="O13" s="1245"/>
      <c r="P13" s="1245"/>
      <c r="Q13" s="1216" t="s">
        <v>7</v>
      </c>
      <c r="R13" s="1216"/>
      <c r="S13" s="1216"/>
      <c r="T13" s="1216"/>
      <c r="V13" s="1223" t="s">
        <v>683</v>
      </c>
      <c r="W13" s="1224"/>
      <c r="X13" s="1224"/>
      <c r="Y13" s="1225"/>
    </row>
    <row r="14" spans="2:28" s="765" customFormat="1" ht="15" customHeight="1" x14ac:dyDescent="0.2">
      <c r="E14" s="763" t="s">
        <v>354</v>
      </c>
      <c r="F14" s="1217" t="s">
        <v>355</v>
      </c>
      <c r="G14" s="1218"/>
      <c r="H14" s="1219"/>
      <c r="I14" s="1220" t="s">
        <v>356</v>
      </c>
      <c r="J14" s="1218"/>
      <c r="K14" s="1219"/>
      <c r="L14" s="764" t="s">
        <v>357</v>
      </c>
      <c r="M14" s="1220" t="s">
        <v>373</v>
      </c>
      <c r="N14" s="1218"/>
      <c r="O14" s="1218"/>
      <c r="P14" s="1219"/>
      <c r="Q14" s="1220" t="s">
        <v>359</v>
      </c>
      <c r="R14" s="1221"/>
      <c r="S14" s="1221"/>
      <c r="T14" s="1222"/>
      <c r="V14" s="1226"/>
      <c r="W14" s="1227"/>
      <c r="X14" s="1227"/>
      <c r="Y14" s="1228"/>
    </row>
    <row r="15" spans="2:28" s="746" customFormat="1" ht="15" customHeight="1" x14ac:dyDescent="0.2">
      <c r="E15" s="1207" t="s">
        <v>360</v>
      </c>
      <c r="F15" s="1208"/>
      <c r="G15" s="1208"/>
      <c r="H15" s="1208"/>
      <c r="I15" s="1209"/>
      <c r="J15" s="1209"/>
      <c r="K15" s="1209"/>
      <c r="L15" s="1209"/>
      <c r="M15" s="1209"/>
      <c r="N15" s="1209"/>
      <c r="O15" s="1209"/>
      <c r="P15" s="1209"/>
      <c r="Q15" s="1209"/>
      <c r="R15" s="1209"/>
      <c r="S15" s="1209"/>
      <c r="T15" s="1210"/>
      <c r="V15" s="1226"/>
      <c r="W15" s="1227"/>
      <c r="X15" s="1227"/>
      <c r="Y15" s="1228"/>
      <c r="AB15" s="853" t="s">
        <v>114</v>
      </c>
    </row>
    <row r="16" spans="2:28" s="769" customFormat="1" ht="44.25" customHeight="1" x14ac:dyDescent="0.2">
      <c r="B16" s="851">
        <v>2</v>
      </c>
      <c r="C16" s="852"/>
      <c r="E16" s="1172">
        <v>1</v>
      </c>
      <c r="F16" s="1195" t="str">
        <f>VLOOKUP(B16,INDIKATOR,2,)</f>
        <v>Meningkatnya kualitas penerapan kurikulum dan pola pembelajaran inovatif</v>
      </c>
      <c r="G16" s="1196"/>
      <c r="H16" s="1197"/>
      <c r="I16" s="1195" t="s">
        <v>702</v>
      </c>
      <c r="J16" s="1196"/>
      <c r="K16" s="1197"/>
      <c r="L16" s="766" t="s">
        <v>361</v>
      </c>
      <c r="M16" s="1120" t="s">
        <v>589</v>
      </c>
      <c r="N16" s="1166"/>
      <c r="O16" s="1166"/>
      <c r="P16" s="1167"/>
      <c r="Q16" s="727"/>
      <c r="R16" s="767"/>
      <c r="S16" s="767">
        <v>1</v>
      </c>
      <c r="T16" s="768" t="s">
        <v>590</v>
      </c>
      <c r="V16" s="1226"/>
      <c r="W16" s="1227"/>
      <c r="X16" s="1227"/>
      <c r="Y16" s="1228"/>
      <c r="AB16" s="848">
        <v>1</v>
      </c>
    </row>
    <row r="17" spans="2:28" s="769" customFormat="1" ht="44.25" customHeight="1" thickBot="1" x14ac:dyDescent="0.25">
      <c r="B17" s="851" t="s">
        <v>114</v>
      </c>
      <c r="C17" s="852"/>
      <c r="E17" s="1173"/>
      <c r="F17" s="1175"/>
      <c r="G17" s="1176"/>
      <c r="H17" s="1177"/>
      <c r="I17" s="1175"/>
      <c r="J17" s="1176"/>
      <c r="K17" s="1177"/>
      <c r="L17" s="770" t="s">
        <v>591</v>
      </c>
      <c r="M17" s="1120" t="s">
        <v>594</v>
      </c>
      <c r="N17" s="1166"/>
      <c r="O17" s="1166"/>
      <c r="P17" s="1167"/>
      <c r="Q17" s="727">
        <v>80</v>
      </c>
      <c r="R17" s="767" t="s">
        <v>15</v>
      </c>
      <c r="S17" s="767">
        <v>90</v>
      </c>
      <c r="T17" s="771" t="s">
        <v>592</v>
      </c>
      <c r="V17" s="1229"/>
      <c r="W17" s="1230"/>
      <c r="X17" s="1230"/>
      <c r="Y17" s="1231"/>
      <c r="AB17" s="509" t="s">
        <v>648</v>
      </c>
    </row>
    <row r="18" spans="2:28" s="769" customFormat="1" ht="30" customHeight="1" x14ac:dyDescent="0.2">
      <c r="B18" s="851" t="s">
        <v>114</v>
      </c>
      <c r="C18" s="852"/>
      <c r="E18" s="1192"/>
      <c r="F18" s="1178"/>
      <c r="G18" s="1179"/>
      <c r="H18" s="1180"/>
      <c r="I18" s="1175"/>
      <c r="J18" s="1176"/>
      <c r="K18" s="1177"/>
      <c r="L18" s="772" t="s">
        <v>593</v>
      </c>
      <c r="M18" s="1204" t="s">
        <v>595</v>
      </c>
      <c r="N18" s="1205"/>
      <c r="O18" s="1205"/>
      <c r="P18" s="1206"/>
      <c r="Q18" s="727"/>
      <c r="R18" s="767"/>
      <c r="S18" s="767">
        <v>6</v>
      </c>
      <c r="T18" s="773" t="s">
        <v>367</v>
      </c>
      <c r="V18" s="1223" t="s">
        <v>684</v>
      </c>
      <c r="W18" s="1224"/>
      <c r="X18" s="1224"/>
      <c r="Y18" s="1225"/>
      <c r="AB18" s="509" t="s">
        <v>648</v>
      </c>
    </row>
    <row r="19" spans="2:28" s="769" customFormat="1" ht="30" customHeight="1" x14ac:dyDescent="0.2">
      <c r="B19" s="851">
        <v>3</v>
      </c>
      <c r="C19" s="852"/>
      <c r="E19" s="1172">
        <v>2</v>
      </c>
      <c r="F19" s="1195" t="str">
        <f>VLOOKUP(B19,INDIKATOR,2,)</f>
        <v>Meningkatnya kualitas penilaian pendidikan</v>
      </c>
      <c r="G19" s="1196"/>
      <c r="H19" s="1197"/>
      <c r="I19" s="1195" t="s">
        <v>703</v>
      </c>
      <c r="J19" s="1196"/>
      <c r="K19" s="1197"/>
      <c r="L19" s="766" t="s">
        <v>361</v>
      </c>
      <c r="M19" s="1198" t="s">
        <v>589</v>
      </c>
      <c r="N19" s="1199"/>
      <c r="O19" s="1199"/>
      <c r="P19" s="1200"/>
      <c r="Q19" s="727"/>
      <c r="R19" s="767"/>
      <c r="S19" s="767">
        <v>1</v>
      </c>
      <c r="T19" s="768" t="s">
        <v>590</v>
      </c>
      <c r="V19" s="1226"/>
      <c r="W19" s="1227"/>
      <c r="X19" s="1227"/>
      <c r="Y19" s="1228"/>
      <c r="AB19" s="509">
        <v>2</v>
      </c>
    </row>
    <row r="20" spans="2:28" s="769" customFormat="1" ht="45" customHeight="1" thickBot="1" x14ac:dyDescent="0.25">
      <c r="B20" s="851" t="s">
        <v>114</v>
      </c>
      <c r="C20" s="852"/>
      <c r="E20" s="1173"/>
      <c r="F20" s="1175"/>
      <c r="G20" s="1176"/>
      <c r="H20" s="1177"/>
      <c r="I20" s="1175"/>
      <c r="J20" s="1176"/>
      <c r="K20" s="1177"/>
      <c r="L20" s="770" t="s">
        <v>591</v>
      </c>
      <c r="M20" s="1120" t="s">
        <v>596</v>
      </c>
      <c r="N20" s="1166"/>
      <c r="O20" s="1166"/>
      <c r="P20" s="1167"/>
      <c r="Q20" s="727">
        <v>80</v>
      </c>
      <c r="R20" s="767" t="s">
        <v>15</v>
      </c>
      <c r="S20" s="767">
        <v>90</v>
      </c>
      <c r="T20" s="771" t="s">
        <v>592</v>
      </c>
      <c r="V20" s="1229"/>
      <c r="W20" s="1230"/>
      <c r="X20" s="1230"/>
      <c r="Y20" s="1231"/>
      <c r="AB20" s="509">
        <v>3</v>
      </c>
    </row>
    <row r="21" spans="2:28" s="769" customFormat="1" ht="35.25" customHeight="1" x14ac:dyDescent="0.2">
      <c r="B21" s="851" t="s">
        <v>114</v>
      </c>
      <c r="C21" s="852"/>
      <c r="E21" s="1173"/>
      <c r="F21" s="1175"/>
      <c r="G21" s="1176"/>
      <c r="H21" s="1177"/>
      <c r="I21" s="1178"/>
      <c r="J21" s="1179"/>
      <c r="K21" s="1180"/>
      <c r="L21" s="774" t="s">
        <v>593</v>
      </c>
      <c r="M21" s="1201" t="s">
        <v>595</v>
      </c>
      <c r="N21" s="1202"/>
      <c r="O21" s="1202"/>
      <c r="P21" s="1203"/>
      <c r="Q21" s="727"/>
      <c r="R21" s="767"/>
      <c r="S21" s="767">
        <v>6</v>
      </c>
      <c r="T21" s="773" t="s">
        <v>367</v>
      </c>
      <c r="AB21" s="509" t="s">
        <v>649</v>
      </c>
    </row>
    <row r="22" spans="2:28" s="769" customFormat="1" ht="42" customHeight="1" x14ac:dyDescent="0.2">
      <c r="B22" s="851">
        <v>4</v>
      </c>
      <c r="C22" s="852"/>
      <c r="E22" s="1194">
        <v>3</v>
      </c>
      <c r="F22" s="1195" t="str">
        <f>VLOOKUP(B22,INDIKATOR,2,)</f>
        <v xml:space="preserve">Meningkatnya penerapan teknologi informasi dan komunikasi dalam sistem pembelajaran </v>
      </c>
      <c r="G22" s="1196"/>
      <c r="H22" s="1197"/>
      <c r="I22" s="1195" t="s">
        <v>704</v>
      </c>
      <c r="J22" s="1196"/>
      <c r="K22" s="1197"/>
      <c r="L22" s="775" t="s">
        <v>361</v>
      </c>
      <c r="M22" s="1198" t="s">
        <v>589</v>
      </c>
      <c r="N22" s="1199"/>
      <c r="O22" s="1199"/>
      <c r="P22" s="1200"/>
      <c r="Q22" s="727"/>
      <c r="R22" s="767"/>
      <c r="S22" s="767">
        <v>1</v>
      </c>
      <c r="T22" s="768" t="s">
        <v>590</v>
      </c>
      <c r="AB22" s="509" t="s">
        <v>650</v>
      </c>
    </row>
    <row r="23" spans="2:28" s="769" customFormat="1" ht="40.5" customHeight="1" x14ac:dyDescent="0.2">
      <c r="B23" s="851" t="s">
        <v>114</v>
      </c>
      <c r="C23" s="852"/>
      <c r="E23" s="1173"/>
      <c r="F23" s="1175"/>
      <c r="G23" s="1176"/>
      <c r="H23" s="1177"/>
      <c r="I23" s="1175"/>
      <c r="J23" s="1176"/>
      <c r="K23" s="1177"/>
      <c r="L23" s="770" t="s">
        <v>591</v>
      </c>
      <c r="M23" s="1120" t="s">
        <v>597</v>
      </c>
      <c r="N23" s="1166"/>
      <c r="O23" s="1166"/>
      <c r="P23" s="1167"/>
      <c r="Q23" s="727">
        <v>80</v>
      </c>
      <c r="R23" s="767" t="s">
        <v>15</v>
      </c>
      <c r="S23" s="767">
        <v>90</v>
      </c>
      <c r="T23" s="771" t="s">
        <v>592</v>
      </c>
      <c r="AB23" s="509" t="s">
        <v>651</v>
      </c>
    </row>
    <row r="24" spans="2:28" s="769" customFormat="1" ht="31.5" customHeight="1" x14ac:dyDescent="0.2">
      <c r="B24" s="851" t="s">
        <v>114</v>
      </c>
      <c r="C24" s="852"/>
      <c r="E24" s="1174"/>
      <c r="F24" s="1178"/>
      <c r="G24" s="1179"/>
      <c r="H24" s="1180"/>
      <c r="I24" s="1178"/>
      <c r="J24" s="1179"/>
      <c r="K24" s="1180"/>
      <c r="L24" s="772" t="s">
        <v>593</v>
      </c>
      <c r="M24" s="1193" t="s">
        <v>595</v>
      </c>
      <c r="N24" s="1166"/>
      <c r="O24" s="1166"/>
      <c r="P24" s="1167"/>
      <c r="Q24" s="727"/>
      <c r="R24" s="767"/>
      <c r="S24" s="767">
        <v>6</v>
      </c>
      <c r="T24" s="773" t="s">
        <v>367</v>
      </c>
      <c r="AB24" s="509">
        <v>4</v>
      </c>
    </row>
    <row r="25" spans="2:28" s="769" customFormat="1" ht="30" hidden="1" customHeight="1" x14ac:dyDescent="0.2">
      <c r="B25" s="851" t="s">
        <v>114</v>
      </c>
      <c r="C25" s="852"/>
      <c r="E25" s="1194"/>
      <c r="F25" s="1195" t="str">
        <f>VLOOKUP(B25,INDIKATOR,2,)</f>
        <v>-</v>
      </c>
      <c r="G25" s="1196"/>
      <c r="H25" s="1197"/>
      <c r="I25" s="1195"/>
      <c r="J25" s="1196"/>
      <c r="K25" s="1197"/>
      <c r="L25" s="775"/>
      <c r="M25" s="1198"/>
      <c r="N25" s="1199"/>
      <c r="O25" s="1199"/>
      <c r="P25" s="1200"/>
      <c r="Q25" s="727"/>
      <c r="R25" s="767"/>
      <c r="S25" s="767"/>
      <c r="T25" s="768"/>
      <c r="AB25" s="509" t="s">
        <v>652</v>
      </c>
    </row>
    <row r="26" spans="2:28" s="769" customFormat="1" ht="30" hidden="1" customHeight="1" x14ac:dyDescent="0.2">
      <c r="B26" s="851" t="s">
        <v>114</v>
      </c>
      <c r="C26" s="852"/>
      <c r="E26" s="1173"/>
      <c r="F26" s="1175"/>
      <c r="G26" s="1176"/>
      <c r="H26" s="1177"/>
      <c r="I26" s="1175"/>
      <c r="J26" s="1176"/>
      <c r="K26" s="1177"/>
      <c r="L26" s="770"/>
      <c r="M26" s="1120"/>
      <c r="N26" s="1166"/>
      <c r="O26" s="1166"/>
      <c r="P26" s="1167"/>
      <c r="Q26" s="727"/>
      <c r="R26" s="767"/>
      <c r="S26" s="767"/>
      <c r="T26" s="771"/>
      <c r="AB26" s="509">
        <v>5</v>
      </c>
    </row>
    <row r="27" spans="2:28" s="769" customFormat="1" ht="30" hidden="1" customHeight="1" x14ac:dyDescent="0.2">
      <c r="B27" s="851" t="s">
        <v>114</v>
      </c>
      <c r="C27" s="852"/>
      <c r="E27" s="1174"/>
      <c r="F27" s="1178"/>
      <c r="G27" s="1179"/>
      <c r="H27" s="1180"/>
      <c r="I27" s="1178"/>
      <c r="J27" s="1179"/>
      <c r="K27" s="1180"/>
      <c r="L27" s="772"/>
      <c r="M27" s="1193"/>
      <c r="N27" s="1166"/>
      <c r="O27" s="1166"/>
      <c r="P27" s="1167"/>
      <c r="Q27" s="727"/>
      <c r="R27" s="767"/>
      <c r="S27" s="767"/>
      <c r="T27" s="773"/>
      <c r="AB27" s="509">
        <v>6</v>
      </c>
    </row>
    <row r="28" spans="2:28" s="769" customFormat="1" ht="30" hidden="1" customHeight="1" x14ac:dyDescent="0.2">
      <c r="B28" s="851">
        <v>5</v>
      </c>
      <c r="C28" s="852"/>
      <c r="E28" s="1173">
        <v>5</v>
      </c>
      <c r="F28" s="1175"/>
      <c r="G28" s="1176"/>
      <c r="H28" s="1177"/>
      <c r="I28" s="1175"/>
      <c r="J28" s="1176"/>
      <c r="K28" s="1177"/>
      <c r="L28" s="778"/>
      <c r="M28" s="1181"/>
      <c r="N28" s="1182"/>
      <c r="O28" s="1182"/>
      <c r="P28" s="1183"/>
      <c r="Q28" s="727"/>
      <c r="R28" s="767"/>
      <c r="S28" s="767"/>
      <c r="T28" s="768"/>
      <c r="AB28" s="509" t="s">
        <v>653</v>
      </c>
    </row>
    <row r="29" spans="2:28" s="769" customFormat="1" ht="30" hidden="1" customHeight="1" x14ac:dyDescent="0.2">
      <c r="B29" s="851" t="s">
        <v>114</v>
      </c>
      <c r="C29" s="852"/>
      <c r="E29" s="1173"/>
      <c r="F29" s="1175"/>
      <c r="G29" s="1176"/>
      <c r="H29" s="1177"/>
      <c r="I29" s="1175"/>
      <c r="J29" s="1176"/>
      <c r="K29" s="1177"/>
      <c r="L29" s="770"/>
      <c r="M29" s="1120"/>
      <c r="N29" s="1166"/>
      <c r="O29" s="1166"/>
      <c r="P29" s="1167"/>
      <c r="Q29" s="727"/>
      <c r="R29" s="767"/>
      <c r="S29" s="767"/>
      <c r="T29" s="771"/>
      <c r="AB29" s="509">
        <v>7</v>
      </c>
    </row>
    <row r="30" spans="2:28" s="769" customFormat="1" ht="30" hidden="1" customHeight="1" x14ac:dyDescent="0.2">
      <c r="B30" s="851" t="s">
        <v>114</v>
      </c>
      <c r="C30" s="852"/>
      <c r="E30" s="1192"/>
      <c r="F30" s="1178"/>
      <c r="G30" s="1179"/>
      <c r="H30" s="1180"/>
      <c r="I30" s="1178"/>
      <c r="J30" s="1179"/>
      <c r="K30" s="1180"/>
      <c r="L30" s="772"/>
      <c r="M30" s="1193"/>
      <c r="N30" s="1166"/>
      <c r="O30" s="1166"/>
      <c r="P30" s="1167"/>
      <c r="Q30" s="727"/>
      <c r="R30" s="767"/>
      <c r="S30" s="767"/>
      <c r="T30" s="773"/>
      <c r="AB30" s="509" t="s">
        <v>654</v>
      </c>
    </row>
    <row r="31" spans="2:28" s="769" customFormat="1" ht="15" hidden="1" customHeight="1" x14ac:dyDescent="0.2">
      <c r="E31" s="780"/>
      <c r="F31" s="781"/>
      <c r="G31" s="781"/>
      <c r="H31" s="781"/>
      <c r="I31" s="781"/>
      <c r="J31" s="781"/>
      <c r="K31" s="781"/>
      <c r="L31" s="782"/>
      <c r="M31" s="782"/>
      <c r="N31" s="782"/>
      <c r="O31" s="782"/>
      <c r="P31" s="782"/>
      <c r="Q31" s="783"/>
      <c r="R31" s="783"/>
      <c r="S31" s="783"/>
      <c r="T31" s="784"/>
      <c r="AB31" s="509" t="s">
        <v>655</v>
      </c>
    </row>
    <row r="32" spans="2:28" s="769" customFormat="1" ht="23.45" customHeight="1" x14ac:dyDescent="0.2">
      <c r="E32" s="1190" t="s">
        <v>366</v>
      </c>
      <c r="F32" s="1191"/>
      <c r="G32" s="1191"/>
      <c r="H32" s="1191"/>
      <c r="I32" s="1191"/>
      <c r="J32" s="1191"/>
      <c r="K32" s="1191"/>
      <c r="L32" s="1191"/>
      <c r="M32" s="1191"/>
      <c r="N32" s="1191"/>
      <c r="O32" s="1191"/>
      <c r="P32" s="1191"/>
      <c r="Q32" s="1191"/>
      <c r="R32" s="1191"/>
      <c r="S32" s="1191"/>
      <c r="T32" s="1191"/>
      <c r="AB32" s="509">
        <v>8</v>
      </c>
    </row>
    <row r="33" spans="2:37" s="769" customFormat="1" ht="15" customHeight="1" x14ac:dyDescent="0.2">
      <c r="B33" s="851" t="s">
        <v>114</v>
      </c>
      <c r="E33" s="1173">
        <v>1</v>
      </c>
      <c r="F33" s="1175" t="str">
        <f>VLOOKUP(B33,INDIKATOR,2,)</f>
        <v>-</v>
      </c>
      <c r="G33" s="1176"/>
      <c r="H33" s="1177"/>
      <c r="I33" s="1175" t="s">
        <v>598</v>
      </c>
      <c r="J33" s="1176"/>
      <c r="K33" s="1177"/>
      <c r="L33" s="778" t="s">
        <v>361</v>
      </c>
      <c r="M33" s="1181" t="s">
        <v>586</v>
      </c>
      <c r="N33" s="1182"/>
      <c r="O33" s="1182"/>
      <c r="P33" s="1183"/>
      <c r="Q33" s="785"/>
      <c r="R33" s="506"/>
      <c r="S33" s="506">
        <v>1</v>
      </c>
      <c r="T33" s="786" t="s">
        <v>599</v>
      </c>
      <c r="AB33" s="509">
        <v>9</v>
      </c>
    </row>
    <row r="34" spans="2:37" s="769" customFormat="1" ht="15" customHeight="1" x14ac:dyDescent="0.2">
      <c r="E34" s="1173"/>
      <c r="F34" s="1175"/>
      <c r="G34" s="1176"/>
      <c r="H34" s="1177"/>
      <c r="I34" s="1175"/>
      <c r="J34" s="1176"/>
      <c r="K34" s="1177"/>
      <c r="L34" s="770" t="s">
        <v>591</v>
      </c>
      <c r="M34" s="1181" t="s">
        <v>600</v>
      </c>
      <c r="N34" s="1182"/>
      <c r="O34" s="1182"/>
      <c r="P34" s="1183"/>
      <c r="Q34" s="785">
        <v>80</v>
      </c>
      <c r="R34" s="506" t="s">
        <v>15</v>
      </c>
      <c r="S34" s="506">
        <v>90</v>
      </c>
      <c r="T34" s="786" t="s">
        <v>592</v>
      </c>
      <c r="AB34" s="509" t="s">
        <v>656</v>
      </c>
    </row>
    <row r="35" spans="2:37" s="769" customFormat="1" ht="15" customHeight="1" x14ac:dyDescent="0.2">
      <c r="E35" s="1192"/>
      <c r="F35" s="1178"/>
      <c r="G35" s="1179"/>
      <c r="H35" s="1180"/>
      <c r="I35" s="1178"/>
      <c r="J35" s="1179"/>
      <c r="K35" s="1180"/>
      <c r="L35" s="772" t="s">
        <v>593</v>
      </c>
      <c r="M35" s="1181" t="s">
        <v>601</v>
      </c>
      <c r="N35" s="1182"/>
      <c r="O35" s="1182"/>
      <c r="P35" s="1183"/>
      <c r="Q35" s="785"/>
      <c r="R35" s="506"/>
      <c r="S35" s="506">
        <v>36</v>
      </c>
      <c r="T35" s="786" t="s">
        <v>602</v>
      </c>
      <c r="AB35" s="509">
        <v>10</v>
      </c>
    </row>
    <row r="36" spans="2:37" s="769" customFormat="1" ht="15" hidden="1" customHeight="1" x14ac:dyDescent="0.2">
      <c r="E36" s="1172">
        <v>2</v>
      </c>
      <c r="F36" s="1184"/>
      <c r="G36" s="1185"/>
      <c r="H36" s="1186"/>
      <c r="I36" s="1175"/>
      <c r="J36" s="1176"/>
      <c r="K36" s="1177"/>
      <c r="L36" s="922"/>
      <c r="M36" s="1181"/>
      <c r="N36" s="1182"/>
      <c r="O36" s="1182"/>
      <c r="P36" s="1183"/>
      <c r="Q36" s="785"/>
      <c r="R36" s="506"/>
      <c r="S36" s="506"/>
      <c r="T36" s="786"/>
      <c r="AB36" s="509"/>
    </row>
    <row r="37" spans="2:37" s="769" customFormat="1" ht="15" hidden="1" customHeight="1" x14ac:dyDescent="0.2">
      <c r="E37" s="1173"/>
      <c r="F37" s="1187"/>
      <c r="G37" s="1188"/>
      <c r="H37" s="1189"/>
      <c r="I37" s="1175"/>
      <c r="J37" s="1176"/>
      <c r="K37" s="1177"/>
      <c r="L37" s="923"/>
      <c r="M37" s="1181"/>
      <c r="N37" s="1182"/>
      <c r="O37" s="1182"/>
      <c r="P37" s="1183"/>
      <c r="Q37" s="785"/>
      <c r="R37" s="506"/>
      <c r="S37" s="506"/>
      <c r="T37" s="786"/>
      <c r="AB37" s="509"/>
    </row>
    <row r="38" spans="2:37" s="769" customFormat="1" ht="15" hidden="1" customHeight="1" x14ac:dyDescent="0.2">
      <c r="E38" s="1174"/>
      <c r="F38" s="1187"/>
      <c r="G38" s="1188"/>
      <c r="H38" s="1189"/>
      <c r="I38" s="1178"/>
      <c r="J38" s="1179"/>
      <c r="K38" s="1180"/>
      <c r="L38" s="772"/>
      <c r="M38" s="1181"/>
      <c r="N38" s="1182"/>
      <c r="O38" s="1182"/>
      <c r="P38" s="1183"/>
      <c r="Q38" s="785"/>
      <c r="R38" s="506"/>
      <c r="S38" s="506"/>
      <c r="T38" s="786"/>
      <c r="AB38" s="509"/>
    </row>
    <row r="39" spans="2:37" s="769" customFormat="1" ht="15" hidden="1" customHeight="1" x14ac:dyDescent="0.2">
      <c r="E39" s="1194">
        <v>3</v>
      </c>
      <c r="F39" s="1195"/>
      <c r="G39" s="1196"/>
      <c r="H39" s="1197"/>
      <c r="I39" s="1175"/>
      <c r="J39" s="1176"/>
      <c r="K39" s="1177"/>
      <c r="L39" s="921"/>
      <c r="M39" s="1181"/>
      <c r="N39" s="1182"/>
      <c r="O39" s="1182"/>
      <c r="P39" s="1183"/>
      <c r="Q39" s="785"/>
      <c r="R39" s="506"/>
      <c r="S39" s="506"/>
      <c r="T39" s="786"/>
      <c r="AB39" s="509"/>
    </row>
    <row r="40" spans="2:37" s="769" customFormat="1" ht="15" hidden="1" customHeight="1" x14ac:dyDescent="0.2">
      <c r="E40" s="1173"/>
      <c r="F40" s="1175"/>
      <c r="G40" s="1247"/>
      <c r="H40" s="1177"/>
      <c r="I40" s="1175"/>
      <c r="J40" s="1176"/>
      <c r="K40" s="1177"/>
      <c r="L40" s="920"/>
      <c r="M40" s="1181"/>
      <c r="N40" s="1182"/>
      <c r="O40" s="1182"/>
      <c r="P40" s="1183"/>
      <c r="Q40" s="785"/>
      <c r="R40" s="506"/>
      <c r="S40" s="506"/>
      <c r="T40" s="786"/>
      <c r="AB40" s="509"/>
    </row>
    <row r="41" spans="2:37" s="769" customFormat="1" ht="15" hidden="1" customHeight="1" x14ac:dyDescent="0.2">
      <c r="E41" s="1192"/>
      <c r="F41" s="1178"/>
      <c r="G41" s="1179"/>
      <c r="H41" s="1180"/>
      <c r="I41" s="1178"/>
      <c r="J41" s="1179"/>
      <c r="K41" s="1180"/>
      <c r="L41" s="772"/>
      <c r="M41" s="1181"/>
      <c r="N41" s="1182"/>
      <c r="O41" s="1182"/>
      <c r="P41" s="1183"/>
      <c r="Q41" s="785"/>
      <c r="R41" s="506"/>
      <c r="S41" s="506"/>
      <c r="T41" s="786"/>
      <c r="AB41" s="509"/>
    </row>
    <row r="42" spans="2:37" s="769" customFormat="1" ht="15" customHeight="1" x14ac:dyDescent="0.2">
      <c r="E42" s="926"/>
      <c r="F42" s="927"/>
      <c r="G42" s="927"/>
      <c r="H42" s="927"/>
      <c r="I42" s="927"/>
      <c r="J42" s="927"/>
      <c r="K42" s="927"/>
      <c r="L42" s="928"/>
      <c r="M42" s="928"/>
      <c r="N42" s="928"/>
      <c r="O42" s="928"/>
      <c r="P42" s="928"/>
      <c r="Q42" s="929"/>
      <c r="R42" s="929"/>
      <c r="S42" s="929"/>
      <c r="T42" s="930"/>
      <c r="AB42" s="509"/>
    </row>
    <row r="43" spans="2:37" s="746" customFormat="1" ht="15" customHeight="1" x14ac:dyDescent="0.2">
      <c r="E43" s="725"/>
      <c r="F43" s="485"/>
      <c r="G43" s="485"/>
      <c r="H43" s="485"/>
      <c r="I43" s="485"/>
      <c r="J43" s="485"/>
      <c r="K43" s="485"/>
      <c r="L43" s="485"/>
      <c r="M43" s="485"/>
      <c r="N43" s="485"/>
      <c r="O43" s="485"/>
      <c r="P43" s="485"/>
      <c r="Q43" s="725"/>
      <c r="R43" s="725"/>
      <c r="S43" s="725"/>
      <c r="T43" s="485"/>
      <c r="AB43" s="509" t="s">
        <v>657</v>
      </c>
    </row>
    <row r="44" spans="2:37" s="795" customFormat="1" ht="15" customHeight="1" x14ac:dyDescent="0.25">
      <c r="E44" s="787"/>
      <c r="F44" s="788"/>
      <c r="G44" s="789"/>
      <c r="H44" s="790"/>
      <c r="I44" s="787"/>
      <c r="J44" s="787"/>
      <c r="K44" s="791"/>
      <c r="L44" s="791"/>
      <c r="M44" s="792"/>
      <c r="N44" s="792"/>
      <c r="O44" s="792"/>
      <c r="P44" s="793" t="str">
        <f>"Sleman, "&amp;PERIODE!E11</f>
        <v>Sleman, 12  Juli 2021</v>
      </c>
      <c r="Q44" s="794"/>
      <c r="R44" s="794"/>
      <c r="S44" s="794"/>
      <c r="T44" s="791"/>
      <c r="U44" s="791"/>
      <c r="V44" s="791"/>
      <c r="AB44" s="509">
        <v>11</v>
      </c>
    </row>
    <row r="45" spans="2:37" s="797" customFormat="1" ht="15" customHeight="1" x14ac:dyDescent="0.25">
      <c r="E45" s="735"/>
      <c r="F45" s="796" t="s">
        <v>522</v>
      </c>
      <c r="G45" s="485"/>
      <c r="H45" s="485"/>
      <c r="I45" s="485"/>
      <c r="J45" s="485"/>
      <c r="K45" s="485"/>
      <c r="L45" s="485"/>
      <c r="M45" s="485"/>
      <c r="N45" s="485"/>
      <c r="O45" s="485"/>
      <c r="P45" s="485" t="s">
        <v>523</v>
      </c>
      <c r="Q45" s="725"/>
      <c r="R45" s="725"/>
      <c r="S45" s="725"/>
      <c r="T45" s="485"/>
      <c r="U45" s="485"/>
      <c r="V45" s="791"/>
      <c r="W45" s="795"/>
      <c r="X45" s="795"/>
      <c r="Y45" s="795"/>
      <c r="Z45" s="795"/>
      <c r="AA45" s="795"/>
      <c r="AB45" s="509" t="s">
        <v>658</v>
      </c>
      <c r="AC45" s="795"/>
      <c r="AD45" s="795"/>
      <c r="AE45" s="795"/>
      <c r="AF45" s="795"/>
      <c r="AG45" s="795"/>
      <c r="AH45" s="795"/>
      <c r="AI45" s="795"/>
      <c r="AJ45" s="795"/>
      <c r="AK45" s="795"/>
    </row>
    <row r="46" spans="2:37" s="797" customFormat="1" ht="15" customHeight="1" x14ac:dyDescent="0.25">
      <c r="E46" s="794"/>
      <c r="F46" s="798"/>
      <c r="H46" s="649"/>
      <c r="I46" s="794"/>
      <c r="J46" s="794"/>
      <c r="K46" s="794"/>
      <c r="L46" s="649"/>
      <c r="M46" s="794"/>
      <c r="N46" s="794"/>
      <c r="O46" s="794"/>
      <c r="P46" s="794"/>
      <c r="Q46" s="735"/>
      <c r="R46" s="735"/>
      <c r="S46" s="735"/>
      <c r="T46" s="649"/>
      <c r="U46" s="649"/>
      <c r="V46" s="791"/>
      <c r="W46" s="795"/>
      <c r="X46" s="795"/>
      <c r="Y46" s="795"/>
      <c r="Z46" s="795"/>
      <c r="AA46" s="795"/>
      <c r="AB46" s="509">
        <v>12</v>
      </c>
      <c r="AC46" s="795"/>
      <c r="AD46" s="795"/>
      <c r="AE46" s="795"/>
      <c r="AF46" s="795"/>
      <c r="AG46" s="795"/>
      <c r="AH46" s="795"/>
      <c r="AI46" s="795"/>
      <c r="AJ46" s="795"/>
      <c r="AK46" s="795"/>
    </row>
    <row r="47" spans="2:37" s="797" customFormat="1" ht="15" customHeight="1" x14ac:dyDescent="0.25">
      <c r="E47" s="794"/>
      <c r="F47" s="798"/>
      <c r="H47" s="649"/>
      <c r="I47" s="794"/>
      <c r="J47" s="794"/>
      <c r="K47" s="794"/>
      <c r="L47" s="649"/>
      <c r="M47" s="794"/>
      <c r="N47" s="794"/>
      <c r="O47" s="794"/>
      <c r="P47" s="794"/>
      <c r="Q47" s="735"/>
      <c r="R47" s="735"/>
      <c r="S47" s="735"/>
      <c r="T47" s="649"/>
      <c r="U47" s="649"/>
      <c r="V47" s="791"/>
      <c r="W47" s="795"/>
      <c r="X47" s="795"/>
      <c r="Y47" s="795"/>
      <c r="Z47" s="795"/>
      <c r="AA47" s="795"/>
      <c r="AB47" s="509" t="s">
        <v>659</v>
      </c>
      <c r="AC47" s="795"/>
      <c r="AD47" s="795"/>
      <c r="AE47" s="795"/>
      <c r="AF47" s="795"/>
      <c r="AG47" s="795"/>
      <c r="AH47" s="795"/>
      <c r="AI47" s="795"/>
      <c r="AJ47" s="795"/>
      <c r="AK47" s="795"/>
    </row>
    <row r="48" spans="2:37" s="797" customFormat="1" ht="15" customHeight="1" x14ac:dyDescent="0.25">
      <c r="E48" s="794"/>
      <c r="F48" s="798"/>
      <c r="H48" s="649"/>
      <c r="I48" s="791"/>
      <c r="J48" s="791"/>
      <c r="K48" s="791"/>
      <c r="L48" s="649"/>
      <c r="M48" s="791"/>
      <c r="N48" s="791"/>
      <c r="O48" s="791"/>
      <c r="P48" s="791"/>
      <c r="Q48" s="735"/>
      <c r="R48" s="735"/>
      <c r="S48" s="735"/>
      <c r="T48" s="649"/>
      <c r="U48" s="649"/>
      <c r="V48" s="791"/>
      <c r="W48" s="795"/>
      <c r="X48" s="795"/>
      <c r="Y48" s="795"/>
      <c r="Z48" s="795"/>
      <c r="AA48" s="795"/>
      <c r="AB48" s="509" t="s">
        <v>660</v>
      </c>
      <c r="AC48" s="795"/>
      <c r="AD48" s="795"/>
      <c r="AE48" s="795"/>
      <c r="AF48" s="795"/>
      <c r="AG48" s="795"/>
      <c r="AH48" s="795"/>
      <c r="AI48" s="795"/>
      <c r="AJ48" s="795"/>
      <c r="AK48" s="795"/>
    </row>
    <row r="49" spans="5:37" s="797" customFormat="1" ht="15" customHeight="1" x14ac:dyDescent="0.25">
      <c r="E49" s="794"/>
      <c r="F49" s="798"/>
      <c r="H49" s="649"/>
      <c r="I49" s="791"/>
      <c r="J49" s="791"/>
      <c r="K49" s="791"/>
      <c r="L49" s="649"/>
      <c r="M49" s="791"/>
      <c r="N49" s="791"/>
      <c r="O49" s="791"/>
      <c r="P49" s="791"/>
      <c r="Q49" s="735"/>
      <c r="R49" s="735"/>
      <c r="S49" s="735"/>
      <c r="T49" s="649"/>
      <c r="U49" s="649"/>
      <c r="V49" s="791"/>
      <c r="W49" s="795"/>
      <c r="X49" s="795"/>
      <c r="Y49" s="795"/>
      <c r="Z49" s="795"/>
      <c r="AA49" s="795"/>
      <c r="AB49" s="509" t="s">
        <v>661</v>
      </c>
      <c r="AC49" s="795"/>
      <c r="AD49" s="795"/>
      <c r="AE49" s="795"/>
      <c r="AF49" s="795"/>
      <c r="AG49" s="795"/>
      <c r="AH49" s="795"/>
      <c r="AI49" s="795"/>
      <c r="AJ49" s="795"/>
      <c r="AK49" s="795"/>
    </row>
    <row r="50" spans="5:37" s="795" customFormat="1" ht="15" customHeight="1" x14ac:dyDescent="0.25">
      <c r="E50" s="794"/>
      <c r="F50" s="798" t="str">
        <f>H8</f>
        <v>Sirajudin, S.Pd</v>
      </c>
      <c r="H50" s="791"/>
      <c r="I50" s="791"/>
      <c r="J50" s="794"/>
      <c r="K50" s="791"/>
      <c r="L50" s="791"/>
      <c r="M50" s="799"/>
      <c r="N50" s="799"/>
      <c r="O50" s="799"/>
      <c r="P50" s="791" t="str">
        <f>N8</f>
        <v>Drs. Busyroni Majid, M.Si</v>
      </c>
      <c r="Q50" s="794"/>
      <c r="R50" s="794"/>
      <c r="S50" s="794"/>
      <c r="T50" s="791"/>
      <c r="U50" s="791"/>
      <c r="V50" s="791"/>
      <c r="AB50" s="509">
        <v>13</v>
      </c>
    </row>
    <row r="51" spans="5:37" s="797" customFormat="1" ht="15" customHeight="1" x14ac:dyDescent="0.25">
      <c r="E51" s="735"/>
      <c r="F51" s="798" t="str">
        <f>"NIP." &amp;H9</f>
        <v>NIP.19730115 200710 1 001</v>
      </c>
      <c r="H51" s="649"/>
      <c r="I51" s="791"/>
      <c r="J51" s="791"/>
      <c r="K51" s="649"/>
      <c r="L51" s="649"/>
      <c r="M51" s="791"/>
      <c r="N51" s="791"/>
      <c r="O51" s="791"/>
      <c r="P51" s="791" t="str">
        <f xml:space="preserve"> "NIP." &amp;N9</f>
        <v>NIP.19690921 199503 1 001</v>
      </c>
      <c r="Q51" s="735"/>
      <c r="R51" s="735"/>
      <c r="S51" s="735"/>
      <c r="T51" s="649"/>
      <c r="U51" s="649"/>
      <c r="V51" s="791"/>
      <c r="W51" s="795"/>
      <c r="X51" s="795"/>
      <c r="Y51" s="795"/>
      <c r="Z51" s="795"/>
      <c r="AA51" s="795"/>
      <c r="AB51" s="509" t="s">
        <v>662</v>
      </c>
      <c r="AC51" s="795"/>
      <c r="AD51" s="795"/>
      <c r="AE51" s="795"/>
      <c r="AF51" s="795"/>
      <c r="AG51" s="795"/>
      <c r="AH51" s="795"/>
      <c r="AI51" s="795"/>
      <c r="AJ51" s="795"/>
      <c r="AK51" s="795"/>
    </row>
    <row r="52" spans="5:37" s="801" customFormat="1" x14ac:dyDescent="0.25">
      <c r="E52" s="735"/>
      <c r="F52" s="649"/>
      <c r="G52" s="791"/>
      <c r="H52" s="735"/>
      <c r="I52" s="649"/>
      <c r="J52" s="649"/>
      <c r="K52" s="649"/>
      <c r="L52" s="649"/>
      <c r="M52" s="649"/>
      <c r="N52" s="649"/>
      <c r="O52" s="649"/>
      <c r="P52" s="649"/>
      <c r="Q52" s="735"/>
      <c r="R52" s="735"/>
      <c r="S52" s="735"/>
      <c r="T52" s="791"/>
      <c r="U52" s="800"/>
      <c r="V52" s="800"/>
      <c r="W52" s="800"/>
      <c r="X52" s="800"/>
      <c r="Y52" s="800"/>
      <c r="Z52" s="800"/>
      <c r="AA52" s="800"/>
      <c r="AB52" s="509" t="s">
        <v>663</v>
      </c>
      <c r="AC52" s="800"/>
      <c r="AD52" s="800"/>
      <c r="AE52" s="800"/>
      <c r="AF52" s="800"/>
      <c r="AG52" s="800"/>
      <c r="AH52" s="800"/>
      <c r="AI52" s="800"/>
    </row>
    <row r="53" spans="5:37" ht="15" customHeight="1" x14ac:dyDescent="0.2">
      <c r="AB53" s="509">
        <v>14</v>
      </c>
    </row>
    <row r="54" spans="5:37" ht="15" customHeight="1" x14ac:dyDescent="0.2">
      <c r="AB54" s="509" t="s">
        <v>664</v>
      </c>
    </row>
    <row r="55" spans="5:37" ht="15" customHeight="1" x14ac:dyDescent="0.2">
      <c r="AB55" s="509" t="s">
        <v>665</v>
      </c>
    </row>
    <row r="56" spans="5:37" ht="15" customHeight="1" x14ac:dyDescent="0.2">
      <c r="AB56" s="509">
        <v>15</v>
      </c>
    </row>
    <row r="57" spans="5:37" ht="15" customHeight="1" x14ac:dyDescent="0.2">
      <c r="AB57" s="509" t="s">
        <v>666</v>
      </c>
    </row>
    <row r="58" spans="5:37" ht="15" customHeight="1" x14ac:dyDescent="0.2">
      <c r="AB58" s="509" t="s">
        <v>667</v>
      </c>
    </row>
    <row r="59" spans="5:37" ht="15" customHeight="1" x14ac:dyDescent="0.2">
      <c r="AB59" s="509">
        <v>16</v>
      </c>
    </row>
    <row r="60" spans="5:37" ht="15" customHeight="1" x14ac:dyDescent="0.2">
      <c r="AB60" s="509" t="s">
        <v>668</v>
      </c>
    </row>
    <row r="61" spans="5:37" ht="15" customHeight="1" x14ac:dyDescent="0.2">
      <c r="AB61" s="509">
        <v>17</v>
      </c>
    </row>
    <row r="62" spans="5:37" ht="15" customHeight="1" x14ac:dyDescent="0.2">
      <c r="AB62" s="509" t="s">
        <v>669</v>
      </c>
    </row>
    <row r="63" spans="5:37" ht="15" customHeight="1" x14ac:dyDescent="0.2">
      <c r="AB63" s="509" t="s">
        <v>670</v>
      </c>
    </row>
    <row r="64" spans="5:37" ht="15" customHeight="1" x14ac:dyDescent="0.2">
      <c r="AB64" s="509">
        <v>18</v>
      </c>
    </row>
    <row r="65" spans="28:28" ht="15" customHeight="1" x14ac:dyDescent="0.2">
      <c r="AB65" s="509">
        <v>19</v>
      </c>
    </row>
    <row r="66" spans="28:28" ht="15" customHeight="1" x14ac:dyDescent="0.2">
      <c r="AB66" s="509">
        <v>20</v>
      </c>
    </row>
    <row r="67" spans="28:28" ht="15" customHeight="1" x14ac:dyDescent="0.2">
      <c r="AB67" s="509" t="s">
        <v>671</v>
      </c>
    </row>
    <row r="68" spans="28:28" ht="15" customHeight="1" x14ac:dyDescent="0.2">
      <c r="AB68" s="509" t="s">
        <v>672</v>
      </c>
    </row>
    <row r="69" spans="28:28" ht="15" customHeight="1" x14ac:dyDescent="0.2">
      <c r="AB69" s="509">
        <v>21</v>
      </c>
    </row>
    <row r="70" spans="28:28" ht="15" customHeight="1" x14ac:dyDescent="0.2">
      <c r="AB70" s="509">
        <v>22</v>
      </c>
    </row>
    <row r="71" spans="28:28" ht="15" customHeight="1" x14ac:dyDescent="0.2">
      <c r="AB71" s="509" t="s">
        <v>673</v>
      </c>
    </row>
    <row r="72" spans="28:28" ht="15" customHeight="1" x14ac:dyDescent="0.2">
      <c r="AB72" s="509">
        <v>23</v>
      </c>
    </row>
    <row r="73" spans="28:28" ht="15" customHeight="1" x14ac:dyDescent="0.2">
      <c r="AB73" s="509" t="s">
        <v>674</v>
      </c>
    </row>
    <row r="74" spans="28:28" ht="15" customHeight="1" x14ac:dyDescent="0.2">
      <c r="AB74" s="509">
        <v>24</v>
      </c>
    </row>
    <row r="75" spans="28:28" ht="15" customHeight="1" x14ac:dyDescent="0.2">
      <c r="AB75" s="509">
        <v>25</v>
      </c>
    </row>
    <row r="76" spans="28:28" ht="15" customHeight="1" x14ac:dyDescent="0.2">
      <c r="AB76" s="509">
        <v>26</v>
      </c>
    </row>
    <row r="77" spans="28:28" ht="15" customHeight="1" x14ac:dyDescent="0.2">
      <c r="AB77" s="509" t="s">
        <v>675</v>
      </c>
    </row>
  </sheetData>
  <mergeCells count="71">
    <mergeCell ref="E39:E41"/>
    <mergeCell ref="F39:H41"/>
    <mergeCell ref="I39:K41"/>
    <mergeCell ref="M39:P39"/>
    <mergeCell ref="M40:P40"/>
    <mergeCell ref="M41:P41"/>
    <mergeCell ref="V13:Y17"/>
    <mergeCell ref="V18:Y20"/>
    <mergeCell ref="E12:F12"/>
    <mergeCell ref="F1:T1"/>
    <mergeCell ref="F2:T2"/>
    <mergeCell ref="E5:F5"/>
    <mergeCell ref="H5:K5"/>
    <mergeCell ref="E7:K7"/>
    <mergeCell ref="L7:T7"/>
    <mergeCell ref="E8:F8"/>
    <mergeCell ref="E9:F9"/>
    <mergeCell ref="E10:F10"/>
    <mergeCell ref="E11:F11"/>
    <mergeCell ref="F13:H13"/>
    <mergeCell ref="I13:K13"/>
    <mergeCell ref="M13:P13"/>
    <mergeCell ref="Q13:T13"/>
    <mergeCell ref="F14:H14"/>
    <mergeCell ref="I14:K14"/>
    <mergeCell ref="M14:P14"/>
    <mergeCell ref="Q14:T14"/>
    <mergeCell ref="E15:T15"/>
    <mergeCell ref="E16:E18"/>
    <mergeCell ref="F16:H18"/>
    <mergeCell ref="I16:K18"/>
    <mergeCell ref="M16:P16"/>
    <mergeCell ref="M17:P17"/>
    <mergeCell ref="M18:P18"/>
    <mergeCell ref="E19:E21"/>
    <mergeCell ref="F19:H21"/>
    <mergeCell ref="I19:K21"/>
    <mergeCell ref="M19:P19"/>
    <mergeCell ref="M20:P20"/>
    <mergeCell ref="M21:P21"/>
    <mergeCell ref="E22:E24"/>
    <mergeCell ref="F22:H24"/>
    <mergeCell ref="I22:K24"/>
    <mergeCell ref="M22:P22"/>
    <mergeCell ref="M23:P23"/>
    <mergeCell ref="M24:P24"/>
    <mergeCell ref="E25:E27"/>
    <mergeCell ref="F25:H27"/>
    <mergeCell ref="I25:K27"/>
    <mergeCell ref="M25:P25"/>
    <mergeCell ref="M26:P26"/>
    <mergeCell ref="M27:P27"/>
    <mergeCell ref="E28:E30"/>
    <mergeCell ref="F28:H30"/>
    <mergeCell ref="I28:K30"/>
    <mergeCell ref="M28:P28"/>
    <mergeCell ref="M29:P29"/>
    <mergeCell ref="M30:P30"/>
    <mergeCell ref="E32:T32"/>
    <mergeCell ref="E33:E35"/>
    <mergeCell ref="F33:H35"/>
    <mergeCell ref="I33:K35"/>
    <mergeCell ref="M33:P33"/>
    <mergeCell ref="M34:P34"/>
    <mergeCell ref="M35:P35"/>
    <mergeCell ref="E36:E38"/>
    <mergeCell ref="I36:K38"/>
    <mergeCell ref="M36:P36"/>
    <mergeCell ref="M37:P37"/>
    <mergeCell ref="M38:P38"/>
    <mergeCell ref="F36:H38"/>
  </mergeCells>
  <phoneticPr fontId="102" type="noConversion"/>
  <dataValidations count="3">
    <dataValidation type="list" allowBlank="1" showInputMessage="1" showErrorMessage="1" sqref="C16:C30" xr:uid="{00000000-0002-0000-0F00-000000000000}">
      <formula1>$AB$16:$AB$77</formula1>
    </dataValidation>
    <dataValidation type="list" allowBlank="1" showInputMessage="1" showErrorMessage="1" sqref="AB15:AB77" xr:uid="{00000000-0002-0000-0F00-000001000000}">
      <formula1>$AB$15:$AB$82</formula1>
    </dataValidation>
    <dataValidation type="list" allowBlank="1" showInputMessage="1" showErrorMessage="1" sqref="B16:B30 B33" xr:uid="{00000000-0002-0000-0F00-000002000000}">
      <formula1>$AB$15:$AB$77</formula1>
    </dataValidation>
  </dataValidations>
  <printOptions horizontalCentered="1"/>
  <pageMargins left="0.70866141732283472" right="0.70866141732283472" top="0.74803149606299213" bottom="0.74803149606299213" header="0" footer="0"/>
  <pageSetup paperSize="9" scale="81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249977111117893"/>
    <pageSetUpPr fitToPage="1"/>
  </sheetPr>
  <dimension ref="A1:AO104"/>
  <sheetViews>
    <sheetView topLeftCell="A9" zoomScale="90" zoomScaleNormal="90" zoomScaleSheetLayoutView="80" workbookViewId="0">
      <selection activeCell="L26" sqref="L26:N26"/>
    </sheetView>
  </sheetViews>
  <sheetFormatPr defaultColWidth="14.42578125" defaultRowHeight="15" customHeight="1" x14ac:dyDescent="0.2"/>
  <cols>
    <col min="1" max="1" width="7.42578125" style="802" customWidth="1"/>
    <col min="2" max="2" width="5.42578125" style="802" customWidth="1"/>
    <col min="3" max="3" width="11.5703125" style="802" customWidth="1"/>
    <col min="4" max="4" width="5.42578125" style="725" customWidth="1"/>
    <col min="5" max="5" width="20.140625" style="485" customWidth="1"/>
    <col min="6" max="6" width="2.42578125" style="485" customWidth="1"/>
    <col min="7" max="8" width="24.7109375" style="485" customWidth="1"/>
    <col min="9" max="9" width="19.7109375" style="485" customWidth="1"/>
    <col min="10" max="10" width="2.42578125" style="485" customWidth="1"/>
    <col min="11" max="11" width="28.140625" style="485" customWidth="1"/>
    <col min="12" max="12" width="7.28515625" style="485" customWidth="1"/>
    <col min="13" max="13" width="6.42578125" style="485" customWidth="1"/>
    <col min="14" max="14" width="8.28515625" style="485" customWidth="1"/>
    <col min="15" max="30" width="8.7109375" style="802" customWidth="1"/>
    <col min="31" max="40" width="14.42578125" style="802"/>
    <col min="41" max="41" width="6.28515625" style="802" customWidth="1"/>
    <col min="42" max="16384" width="14.42578125" style="802"/>
  </cols>
  <sheetData>
    <row r="1" spans="2:41" ht="15" customHeight="1" x14ac:dyDescent="0.2">
      <c r="D1" s="663"/>
      <c r="E1" s="1062" t="s">
        <v>368</v>
      </c>
      <c r="F1" s="1286"/>
      <c r="G1" s="1286"/>
      <c r="H1" s="1286"/>
      <c r="I1" s="1286"/>
      <c r="J1" s="1286"/>
      <c r="K1" s="1286"/>
      <c r="L1" s="1286"/>
      <c r="M1" s="1286"/>
      <c r="N1" s="1286"/>
    </row>
    <row r="2" spans="2:41" ht="15" customHeight="1" x14ac:dyDescent="0.2">
      <c r="D2" s="663"/>
      <c r="E2" s="1062" t="s">
        <v>603</v>
      </c>
      <c r="F2" s="1286"/>
      <c r="G2" s="1286"/>
      <c r="H2" s="1286"/>
      <c r="I2" s="1286"/>
      <c r="J2" s="1286"/>
      <c r="K2" s="1286"/>
      <c r="L2" s="1286"/>
      <c r="M2" s="1286"/>
      <c r="N2" s="1286"/>
    </row>
    <row r="3" spans="2:41" ht="15" customHeight="1" x14ac:dyDescent="0.2">
      <c r="D3" s="663"/>
      <c r="E3" s="663"/>
      <c r="F3" s="540"/>
      <c r="G3" s="540"/>
      <c r="H3" s="540"/>
      <c r="I3" s="540"/>
      <c r="J3" s="540"/>
      <c r="K3" s="540"/>
      <c r="L3" s="540"/>
      <c r="M3" s="540"/>
      <c r="N3" s="540"/>
    </row>
    <row r="4" spans="2:41" ht="15" customHeight="1" x14ac:dyDescent="0.2">
      <c r="D4" s="663"/>
      <c r="E4" s="663"/>
      <c r="F4" s="540"/>
      <c r="G4" s="540"/>
      <c r="H4" s="540"/>
      <c r="I4" s="540"/>
      <c r="J4" s="540"/>
      <c r="K4" s="1287" t="s">
        <v>419</v>
      </c>
      <c r="L4" s="1287"/>
      <c r="M4" s="1287"/>
      <c r="N4" s="1287"/>
      <c r="O4" s="484"/>
      <c r="P4" s="484"/>
    </row>
    <row r="5" spans="2:41" ht="15" customHeight="1" x14ac:dyDescent="0.2">
      <c r="D5" s="838" t="s">
        <v>420</v>
      </c>
      <c r="E5" s="540"/>
      <c r="F5" s="838" t="s">
        <v>16</v>
      </c>
      <c r="G5" s="839" t="str">
        <f>'RENCANA SKP'!H5</f>
        <v>MTs Negeri 5 Sleman</v>
      </c>
      <c r="H5" s="839"/>
      <c r="I5" s="839"/>
      <c r="J5" s="839"/>
      <c r="K5" s="838" t="str">
        <f>'DATA SKP2'!F4</f>
        <v>01 Juli s.d. 31 Desember 2021</v>
      </c>
      <c r="L5" s="838"/>
      <c r="M5" s="838"/>
      <c r="N5" s="838"/>
      <c r="O5" s="484"/>
      <c r="P5" s="484"/>
    </row>
    <row r="6" spans="2:41" ht="15" customHeight="1" x14ac:dyDescent="0.2">
      <c r="D6" s="663"/>
      <c r="E6" s="838"/>
      <c r="F6" s="838"/>
      <c r="G6" s="737"/>
      <c r="H6" s="737"/>
      <c r="I6" s="737"/>
      <c r="J6" s="737"/>
      <c r="K6" s="737"/>
      <c r="L6" s="838"/>
      <c r="M6" s="838"/>
      <c r="N6" s="838"/>
      <c r="O6" s="484"/>
      <c r="P6" s="484"/>
      <c r="Q6" s="484"/>
    </row>
    <row r="7" spans="2:41" ht="15" customHeight="1" x14ac:dyDescent="0.2">
      <c r="D7" s="1288" t="s">
        <v>85</v>
      </c>
      <c r="E7" s="1288"/>
      <c r="F7" s="1288"/>
      <c r="G7" s="1288"/>
      <c r="H7" s="1288"/>
      <c r="I7" s="1288" t="s">
        <v>86</v>
      </c>
      <c r="J7" s="1288"/>
      <c r="K7" s="1288"/>
      <c r="L7" s="1288"/>
      <c r="M7" s="1288"/>
      <c r="N7" s="1288"/>
    </row>
    <row r="8" spans="2:41" ht="15" customHeight="1" x14ac:dyDescent="0.2">
      <c r="D8" s="1284" t="s">
        <v>2</v>
      </c>
      <c r="E8" s="1285"/>
      <c r="F8" s="840" t="s">
        <v>16</v>
      </c>
      <c r="G8" s="665" t="str">
        <f>'DATA SKP2'!F6</f>
        <v>Sirajudin, S.Pd</v>
      </c>
      <c r="H8" s="665"/>
      <c r="I8" s="841" t="s">
        <v>2</v>
      </c>
      <c r="J8" s="840" t="s">
        <v>16</v>
      </c>
      <c r="K8" s="665" t="str">
        <f>'DATA SKP2'!F12</f>
        <v>Drs. Busyroni Majid, M.Si</v>
      </c>
      <c r="L8" s="665"/>
      <c r="M8" s="665"/>
      <c r="N8" s="665"/>
    </row>
    <row r="9" spans="2:41" ht="15" customHeight="1" x14ac:dyDescent="0.2">
      <c r="D9" s="1067" t="s">
        <v>3</v>
      </c>
      <c r="E9" s="1068"/>
      <c r="F9" s="666" t="s">
        <v>16</v>
      </c>
      <c r="G9" s="665" t="str">
        <f>'DATA SKP2'!F7</f>
        <v>19730115 200710 1 001</v>
      </c>
      <c r="H9" s="842"/>
      <c r="I9" s="670" t="s">
        <v>3</v>
      </c>
      <c r="J9" s="666" t="s">
        <v>16</v>
      </c>
      <c r="K9" s="665" t="str">
        <f>'DATA SKP2'!F13</f>
        <v>19690921 199503 1 001</v>
      </c>
      <c r="L9" s="842"/>
      <c r="M9" s="842"/>
      <c r="N9" s="842"/>
    </row>
    <row r="10" spans="2:41" ht="15" customHeight="1" x14ac:dyDescent="0.2">
      <c r="D10" s="1067" t="s">
        <v>106</v>
      </c>
      <c r="E10" s="1068"/>
      <c r="F10" s="666" t="s">
        <v>16</v>
      </c>
      <c r="G10" s="665" t="str">
        <f>'DATA SKP2'!F8</f>
        <v>Penata Muda, Gol. III/a</v>
      </c>
      <c r="H10" s="842"/>
      <c r="I10" s="670" t="s">
        <v>106</v>
      </c>
      <c r="J10" s="666" t="s">
        <v>16</v>
      </c>
      <c r="K10" s="665" t="str">
        <f>'DATA SKP2'!F14</f>
        <v>Pembina, Gol. IV/a</v>
      </c>
      <c r="L10" s="842"/>
      <c r="M10" s="842"/>
      <c r="N10" s="842"/>
    </row>
    <row r="11" spans="2:41" ht="15" customHeight="1" x14ac:dyDescent="0.2">
      <c r="D11" s="1067" t="s">
        <v>4</v>
      </c>
      <c r="E11" s="1068"/>
      <c r="F11" s="666" t="s">
        <v>16</v>
      </c>
      <c r="G11" s="665" t="str">
        <f>'DATA SKP2'!F9</f>
        <v>Guru Pertama</v>
      </c>
      <c r="H11" s="842"/>
      <c r="I11" s="670" t="s">
        <v>4</v>
      </c>
      <c r="J11" s="666" t="s">
        <v>16</v>
      </c>
      <c r="K11" s="665" t="str">
        <f>'DATA SKP2'!G15</f>
        <v>Kepala Madrasah</v>
      </c>
      <c r="L11" s="843"/>
      <c r="M11" s="843"/>
      <c r="N11" s="842"/>
    </row>
    <row r="12" spans="2:41" ht="15" customHeight="1" x14ac:dyDescent="0.2">
      <c r="D12" s="1067" t="s">
        <v>5</v>
      </c>
      <c r="E12" s="1068"/>
      <c r="F12" s="666" t="s">
        <v>16</v>
      </c>
      <c r="G12" s="665" t="str">
        <f>'DATA SKP2'!F10</f>
        <v>MTs Negeri 5 Sleman</v>
      </c>
      <c r="H12" s="842"/>
      <c r="I12" s="670" t="s">
        <v>5</v>
      </c>
      <c r="J12" s="666" t="s">
        <v>16</v>
      </c>
      <c r="K12" s="665" t="str">
        <f>'DATA SKP2'!F16</f>
        <v>MTs Negeri 5 Sleman</v>
      </c>
      <c r="L12" s="843"/>
      <c r="M12" s="843"/>
      <c r="N12" s="842"/>
    </row>
    <row r="13" spans="2:41" s="803" customFormat="1" ht="24" customHeight="1" x14ac:dyDescent="0.2">
      <c r="D13" s="844" t="s">
        <v>1</v>
      </c>
      <c r="E13" s="1269" t="s">
        <v>351</v>
      </c>
      <c r="F13" s="1270"/>
      <c r="G13" s="1271"/>
      <c r="H13" s="1269" t="s">
        <v>370</v>
      </c>
      <c r="I13" s="1272"/>
      <c r="J13" s="1273"/>
      <c r="K13" s="844" t="s">
        <v>371</v>
      </c>
      <c r="L13" s="1269" t="s">
        <v>372</v>
      </c>
      <c r="M13" s="1270"/>
      <c r="N13" s="1270"/>
    </row>
    <row r="14" spans="2:41" ht="15" customHeight="1" x14ac:dyDescent="0.2">
      <c r="D14" s="845" t="s">
        <v>354</v>
      </c>
      <c r="E14" s="1274" t="s">
        <v>355</v>
      </c>
      <c r="F14" s="1275"/>
      <c r="G14" s="1276"/>
      <c r="H14" s="1277" t="s">
        <v>356</v>
      </c>
      <c r="I14" s="1278"/>
      <c r="J14" s="1279"/>
      <c r="K14" s="846" t="s">
        <v>357</v>
      </c>
      <c r="L14" s="1280" t="s">
        <v>373</v>
      </c>
      <c r="M14" s="1281"/>
      <c r="N14" s="1281"/>
    </row>
    <row r="15" spans="2:41" ht="21" customHeight="1" x14ac:dyDescent="0.2">
      <c r="D15" s="1282" t="s">
        <v>360</v>
      </c>
      <c r="E15" s="1283"/>
      <c r="F15" s="847"/>
      <c r="G15" s="847"/>
      <c r="H15" s="847"/>
      <c r="I15" s="847"/>
      <c r="J15" s="847"/>
      <c r="K15" s="847"/>
      <c r="L15" s="939" t="s">
        <v>107</v>
      </c>
      <c r="M15" s="939" t="s">
        <v>689</v>
      </c>
      <c r="N15" s="939" t="s">
        <v>690</v>
      </c>
    </row>
    <row r="16" spans="2:41" ht="68.25" customHeight="1" x14ac:dyDescent="0.2">
      <c r="B16" s="31" t="s">
        <v>112</v>
      </c>
      <c r="D16" s="509">
        <f>IF('[3]RENCANA SKP'!A16="","",'[3]RENCANA SKP'!A16)</f>
        <v>1</v>
      </c>
      <c r="E16" s="1120" t="str">
        <f>'RENCANA SKP'!I16</f>
        <v>Terlaksananya penerapan metode pembelajaran inovatif dalam kurikulum mapel Penjaskes pada kelas VII A-B-C-D, VIII C-D</v>
      </c>
      <c r="F16" s="1166"/>
      <c r="G16" s="1167"/>
      <c r="H16" s="1266" t="str">
        <f>VLOOKUP(B16,AK,2)</f>
        <v>Merencanakan dan melaksanakan pembelajaran, mengevaluasi dan menilai hasil pembelajaran, menganalisis hasil pembelajaran, melaksanakan tindak lanjut hasil penilaian. (05)</v>
      </c>
      <c r="I16" s="1267"/>
      <c r="J16" s="1268"/>
      <c r="K16" s="936" t="s">
        <v>604</v>
      </c>
      <c r="L16" s="942">
        <f>VLOOKUP(B16,'KEGIATAN GURU2'!$B$12:$T$90,19)</f>
        <v>10.5</v>
      </c>
      <c r="M16" s="943">
        <v>1</v>
      </c>
      <c r="N16" s="943">
        <f>IF(L16="-","0",IF(L16="","",L16*M16))</f>
        <v>10.5</v>
      </c>
      <c r="AO16" s="37" t="s">
        <v>114</v>
      </c>
    </row>
    <row r="17" spans="2:41" ht="68.25" customHeight="1" x14ac:dyDescent="0.2">
      <c r="B17" s="31" t="s">
        <v>178</v>
      </c>
      <c r="D17" s="509">
        <v>2</v>
      </c>
      <c r="E17" s="1120" t="str">
        <f>'RENCANA SKP'!I19</f>
        <v>Terlaksananya pembelajaran mapel Penjaskes pada kelas VII A-B-C-D, VIII C-D yang menggunakan bahan belajar berbasis TIK untuk e-pembelajaran</v>
      </c>
      <c r="F17" s="1166"/>
      <c r="G17" s="1167"/>
      <c r="H17" s="1266" t="str">
        <f>VLOOKUP(B17,AK,2)</f>
        <v>Membuat alat pelajaran kategori sederhana. (57)</v>
      </c>
      <c r="I17" s="1267"/>
      <c r="J17" s="1268"/>
      <c r="K17" s="936" t="s">
        <v>700</v>
      </c>
      <c r="L17" s="942">
        <f>VLOOKUP(B17,'KEGIATAN GURU2'!$B$12:$T$90,19)</f>
        <v>1</v>
      </c>
      <c r="M17" s="943">
        <v>1</v>
      </c>
      <c r="N17" s="943">
        <f t="shared" ref="N17:N19" si="0">IF(L17="-","0",IF(L17="","",L17*M17))</f>
        <v>1</v>
      </c>
      <c r="AO17" s="37" t="s">
        <v>112</v>
      </c>
    </row>
    <row r="18" spans="2:41" ht="66.75" customHeight="1" x14ac:dyDescent="0.2">
      <c r="B18" s="31" t="s">
        <v>122</v>
      </c>
      <c r="D18" s="509">
        <v>3</v>
      </c>
      <c r="E18" s="1120" t="str">
        <f>'RENCANA SKP'!I22</f>
        <v>Tersedianya bahan ajar mapel Penjaskes  pada kelas VII  A-B-C-D, VIII C-D  yang mengintegrasikan pendidikan karakter sesuai kurikulum madrasah</v>
      </c>
      <c r="F18" s="1166"/>
      <c r="G18" s="1167"/>
      <c r="H18" s="1266" t="str">
        <f>VLOOKUP(B18,AK,2)</f>
        <v>Membuat modul/diktat pelajaran yang digunakan di tingkat sekolah/madrasah setempat. (47)</v>
      </c>
      <c r="I18" s="1267"/>
      <c r="J18" s="1268"/>
      <c r="K18" s="936" t="s">
        <v>705</v>
      </c>
      <c r="L18" s="942">
        <f>VLOOKUP(B18,'KEGIATAN GURU2'!$B$12:$T$90,19)</f>
        <v>0.5</v>
      </c>
      <c r="M18" s="946">
        <v>1</v>
      </c>
      <c r="N18" s="943">
        <f t="shared" si="0"/>
        <v>0.5</v>
      </c>
      <c r="AO18" s="37" t="s">
        <v>119</v>
      </c>
    </row>
    <row r="19" spans="2:41" ht="45" hidden="1" customHeight="1" x14ac:dyDescent="0.2">
      <c r="B19" s="31" t="s">
        <v>114</v>
      </c>
      <c r="D19" s="509">
        <v>4</v>
      </c>
      <c r="E19" s="1120">
        <f>'RENCANA SKP'!I25</f>
        <v>0</v>
      </c>
      <c r="F19" s="1166"/>
      <c r="G19" s="1167"/>
      <c r="H19" s="1266" t="str">
        <f>VLOOKUP(B19,AK,2)</f>
        <v>-</v>
      </c>
      <c r="I19" s="1267"/>
      <c r="J19" s="1268"/>
      <c r="K19" s="936"/>
      <c r="L19" s="942">
        <f>VLOOKUP(B19,'KEGIATAN GURU2'!$B$12:$T$90,19)</f>
        <v>0</v>
      </c>
      <c r="M19" s="943"/>
      <c r="N19" s="943">
        <f t="shared" si="0"/>
        <v>0</v>
      </c>
      <c r="AO19" s="37" t="s">
        <v>121</v>
      </c>
    </row>
    <row r="20" spans="2:41" ht="45" hidden="1" customHeight="1" x14ac:dyDescent="0.2">
      <c r="B20" s="31" t="s">
        <v>114</v>
      </c>
      <c r="D20" s="509">
        <v>5</v>
      </c>
      <c r="E20" s="1120">
        <f>'RENCANA SKP'!I28</f>
        <v>0</v>
      </c>
      <c r="F20" s="1166"/>
      <c r="G20" s="1167"/>
      <c r="H20" s="1266" t="str">
        <f>VLOOKUP(B20,AK,2)</f>
        <v>-</v>
      </c>
      <c r="I20" s="1267"/>
      <c r="J20" s="1268"/>
      <c r="K20" s="936"/>
      <c r="L20" s="942">
        <f>VLOOKUP(B20,'KEGIATAN GURU2'!$B$12:$T$90,19)</f>
        <v>0</v>
      </c>
      <c r="M20" s="943"/>
      <c r="N20" s="943"/>
      <c r="AO20" s="37" t="s">
        <v>123</v>
      </c>
    </row>
    <row r="21" spans="2:41" ht="15" customHeight="1" x14ac:dyDescent="0.2">
      <c r="D21" s="509"/>
      <c r="E21" s="1260"/>
      <c r="F21" s="1261"/>
      <c r="G21" s="1262"/>
      <c r="H21" s="1120"/>
      <c r="I21" s="1166"/>
      <c r="J21" s="1167"/>
      <c r="K21" s="766"/>
      <c r="L21" s="1263"/>
      <c r="M21" s="1264"/>
      <c r="N21" s="1264"/>
      <c r="AO21" s="37" t="s">
        <v>125</v>
      </c>
    </row>
    <row r="22" spans="2:41" ht="15" customHeight="1" x14ac:dyDescent="0.2">
      <c r="D22" s="1119" t="s">
        <v>366</v>
      </c>
      <c r="E22" s="1265"/>
      <c r="F22" s="804"/>
      <c r="G22" s="804"/>
      <c r="H22" s="804"/>
      <c r="I22" s="804"/>
      <c r="J22" s="804"/>
      <c r="K22" s="804"/>
      <c r="L22" s="944"/>
      <c r="M22" s="944"/>
      <c r="N22" s="944"/>
      <c r="AO22" s="37" t="s">
        <v>127</v>
      </c>
    </row>
    <row r="23" spans="2:41" ht="63.75" customHeight="1" x14ac:dyDescent="0.2">
      <c r="B23" s="31" t="s">
        <v>148</v>
      </c>
      <c r="D23" s="931">
        <f>IF('[3]RENCANA SKP'!A72="","",'[3]RENCANA SKP'!A72)</f>
        <v>1</v>
      </c>
      <c r="E23" s="1256" t="str">
        <f>'RENCANA SKP'!I33</f>
        <v>Diklat peningkatan kompetensi guru yang telah selesai diikuti</v>
      </c>
      <c r="F23" s="1205"/>
      <c r="G23" s="1206"/>
      <c r="H23" s="1257" t="str">
        <f>VLOOKUP(B23,AK,2)</f>
        <v>Mengikuti diklat fungsional, lamanya antara 30 s.d 80 jam. (24)</v>
      </c>
      <c r="I23" s="1258"/>
      <c r="J23" s="1259"/>
      <c r="K23" s="940" t="s">
        <v>605</v>
      </c>
      <c r="L23" s="942">
        <f>VLOOKUP(B23,'KEGIATAN GURU2'!$B$12:$T$90,19)</f>
        <v>1</v>
      </c>
      <c r="M23" s="943">
        <v>1</v>
      </c>
      <c r="N23" s="943">
        <f t="shared" ref="N23:N25" si="1">IF(L23="-","0",IF(L23="","",L23*M23))</f>
        <v>1</v>
      </c>
      <c r="AO23" s="43" t="s">
        <v>129</v>
      </c>
    </row>
    <row r="24" spans="2:41" ht="42.75" hidden="1" customHeight="1" x14ac:dyDescent="0.2">
      <c r="B24" s="31" t="s">
        <v>114</v>
      </c>
      <c r="D24" s="925">
        <v>2</v>
      </c>
      <c r="E24" s="1256">
        <f>'RENCANA SKP'!I36</f>
        <v>0</v>
      </c>
      <c r="F24" s="1205"/>
      <c r="G24" s="1206"/>
      <c r="H24" s="1257" t="str">
        <f>VLOOKUP(B24,AK,2)</f>
        <v>-</v>
      </c>
      <c r="I24" s="1258"/>
      <c r="J24" s="1259"/>
      <c r="K24" s="940"/>
      <c r="L24" s="942"/>
      <c r="M24" s="943"/>
      <c r="N24" s="943"/>
      <c r="AO24" s="43"/>
    </row>
    <row r="25" spans="2:41" ht="42.75" hidden="1" customHeight="1" x14ac:dyDescent="0.2">
      <c r="B25" s="31" t="s">
        <v>114</v>
      </c>
      <c r="D25" s="932">
        <v>3</v>
      </c>
      <c r="E25" s="1253">
        <f>'RENCANA SKP'!I39</f>
        <v>0</v>
      </c>
      <c r="F25" s="1254"/>
      <c r="G25" s="1255"/>
      <c r="H25" s="1251" t="str">
        <f>VLOOKUP(B25,AK,2)</f>
        <v>-</v>
      </c>
      <c r="I25" s="1251"/>
      <c r="J25" s="1252"/>
      <c r="K25" s="941"/>
      <c r="L25" s="942"/>
      <c r="M25" s="943"/>
      <c r="N25" s="943"/>
      <c r="AO25" s="43"/>
    </row>
    <row r="26" spans="2:41" ht="25.5" customHeight="1" x14ac:dyDescent="0.2">
      <c r="D26" s="1248" t="s">
        <v>691</v>
      </c>
      <c r="E26" s="1249"/>
      <c r="F26" s="1249"/>
      <c r="G26" s="1249"/>
      <c r="H26" s="1249"/>
      <c r="I26" s="1249"/>
      <c r="J26" s="1249"/>
      <c r="K26" s="1250"/>
      <c r="L26" s="1509">
        <f>SUM(N16:N25)</f>
        <v>13</v>
      </c>
      <c r="M26" s="1510"/>
      <c r="N26" s="1511"/>
      <c r="AO26" s="43"/>
    </row>
    <row r="27" spans="2:41" ht="15.75" customHeight="1" x14ac:dyDescent="0.2">
      <c r="AO27" s="43"/>
    </row>
    <row r="28" spans="2:41" ht="15.75" customHeight="1" x14ac:dyDescent="0.2">
      <c r="K28" s="485" t="str">
        <f>"Sleman,  "&amp;PERIODE!E15</f>
        <v>Sleman,  12 Juli 2021</v>
      </c>
      <c r="AO28" s="43"/>
    </row>
    <row r="29" spans="2:41" ht="15.75" customHeight="1" x14ac:dyDescent="0.2">
      <c r="K29" s="540" t="s">
        <v>522</v>
      </c>
      <c r="AO29" s="43" t="s">
        <v>130</v>
      </c>
    </row>
    <row r="30" spans="2:41" ht="15.75" customHeight="1" x14ac:dyDescent="0.2">
      <c r="AO30" s="43"/>
    </row>
    <row r="31" spans="2:41" ht="15.75" customHeight="1" x14ac:dyDescent="0.2">
      <c r="AO31" s="43"/>
    </row>
    <row r="32" spans="2:41" ht="15.75" customHeight="1" x14ac:dyDescent="0.2">
      <c r="AO32" s="43" t="s">
        <v>131</v>
      </c>
    </row>
    <row r="33" spans="1:41" ht="15.75" customHeight="1" x14ac:dyDescent="0.2">
      <c r="AO33" s="37" t="s">
        <v>133</v>
      </c>
    </row>
    <row r="34" spans="1:41" ht="15.75" customHeight="1" x14ac:dyDescent="0.2">
      <c r="K34" s="540" t="str">
        <f>G8</f>
        <v>Sirajudin, S.Pd</v>
      </c>
      <c r="AO34" s="37"/>
    </row>
    <row r="35" spans="1:41" s="485" customFormat="1" ht="15.75" customHeight="1" x14ac:dyDescent="0.2">
      <c r="D35" s="725"/>
      <c r="K35" s="540" t="str">
        <f>"NIP. "&amp;G9</f>
        <v>NIP. 19730115 200710 1 001</v>
      </c>
      <c r="O35" s="802"/>
      <c r="P35" s="802"/>
      <c r="Q35" s="802"/>
      <c r="R35" s="802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O35" s="37"/>
    </row>
    <row r="36" spans="1:41" s="725" customFormat="1" ht="15.75" customHeight="1" x14ac:dyDescent="0.2">
      <c r="A36" s="738"/>
      <c r="B36" s="738"/>
      <c r="C36" s="738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802"/>
      <c r="P36" s="802"/>
      <c r="Q36" s="802"/>
      <c r="R36" s="802"/>
      <c r="S36" s="802"/>
      <c r="T36" s="802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O36" s="52" t="s">
        <v>134</v>
      </c>
    </row>
    <row r="37" spans="1:41" s="725" customFormat="1" ht="15.75" customHeight="1" x14ac:dyDescent="0.2">
      <c r="A37" s="738"/>
      <c r="B37" s="738"/>
      <c r="C37" s="738"/>
      <c r="E37" s="485"/>
      <c r="F37" s="485"/>
      <c r="G37" s="485"/>
      <c r="H37" s="485"/>
      <c r="I37" s="485"/>
      <c r="J37" s="485"/>
      <c r="K37" s="485"/>
      <c r="L37" s="485"/>
      <c r="M37" s="485"/>
      <c r="N37" s="485"/>
      <c r="O37" s="802"/>
      <c r="P37" s="802"/>
      <c r="Q37" s="802"/>
      <c r="R37" s="802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O37" s="52"/>
    </row>
    <row r="38" spans="1:41" s="725" customFormat="1" ht="15.75" customHeight="1" x14ac:dyDescent="0.2">
      <c r="A38" s="738"/>
      <c r="B38" s="738"/>
      <c r="C38" s="738"/>
      <c r="E38" s="485"/>
      <c r="F38" s="485"/>
      <c r="G38" s="485"/>
      <c r="H38" s="485"/>
      <c r="I38" s="485"/>
      <c r="J38" s="485"/>
      <c r="K38" s="485"/>
      <c r="L38" s="485"/>
      <c r="M38" s="485"/>
      <c r="N38" s="485"/>
      <c r="O38" s="802"/>
      <c r="P38" s="802"/>
      <c r="Q38" s="802"/>
      <c r="R38" s="802"/>
      <c r="S38" s="802"/>
      <c r="T38" s="802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O38" s="52" t="s">
        <v>115</v>
      </c>
    </row>
    <row r="39" spans="1:41" s="725" customFormat="1" ht="15.75" customHeight="1" x14ac:dyDescent="0.2">
      <c r="A39" s="738"/>
      <c r="B39" s="738"/>
      <c r="C39" s="738"/>
      <c r="E39" s="485"/>
      <c r="F39" s="485"/>
      <c r="G39" s="485"/>
      <c r="H39" s="485"/>
      <c r="I39" s="485"/>
      <c r="J39" s="485"/>
      <c r="K39" s="485"/>
      <c r="L39" s="485"/>
      <c r="M39" s="485"/>
      <c r="N39" s="485"/>
      <c r="O39" s="802"/>
      <c r="P39" s="802"/>
      <c r="Q39" s="802"/>
      <c r="R39" s="802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O39" s="52" t="s">
        <v>138</v>
      </c>
    </row>
    <row r="40" spans="1:41" ht="15" customHeight="1" x14ac:dyDescent="0.2">
      <c r="AO40" s="43" t="s">
        <v>139</v>
      </c>
    </row>
    <row r="41" spans="1:41" ht="15" customHeight="1" x14ac:dyDescent="0.2">
      <c r="AO41" s="37" t="s">
        <v>140</v>
      </c>
    </row>
    <row r="42" spans="1:41" ht="15" customHeight="1" x14ac:dyDescent="0.2">
      <c r="AO42" s="37" t="s">
        <v>141</v>
      </c>
    </row>
    <row r="43" spans="1:41" ht="15" customHeight="1" x14ac:dyDescent="0.2">
      <c r="AO43" s="37" t="s">
        <v>142</v>
      </c>
    </row>
    <row r="44" spans="1:41" ht="15" customHeight="1" x14ac:dyDescent="0.2">
      <c r="AO44" s="37" t="s">
        <v>143</v>
      </c>
    </row>
    <row r="45" spans="1:41" ht="15" customHeight="1" x14ac:dyDescent="0.2">
      <c r="AO45" s="61" t="s">
        <v>144</v>
      </c>
    </row>
    <row r="46" spans="1:41" ht="15" customHeight="1" x14ac:dyDescent="0.2">
      <c r="AO46" s="61" t="s">
        <v>145</v>
      </c>
    </row>
    <row r="47" spans="1:41" ht="15" customHeight="1" x14ac:dyDescent="0.2">
      <c r="AO47" s="61" t="s">
        <v>146</v>
      </c>
    </row>
    <row r="48" spans="1:41" ht="15" customHeight="1" x14ac:dyDescent="0.2">
      <c r="AO48" s="61" t="s">
        <v>147</v>
      </c>
    </row>
    <row r="49" spans="41:41" ht="15" customHeight="1" x14ac:dyDescent="0.2">
      <c r="AO49" s="61" t="s">
        <v>148</v>
      </c>
    </row>
    <row r="50" spans="41:41" ht="15" customHeight="1" x14ac:dyDescent="0.2">
      <c r="AO50" s="61" t="s">
        <v>149</v>
      </c>
    </row>
    <row r="51" spans="41:41" ht="15" customHeight="1" x14ac:dyDescent="0.2">
      <c r="AO51" s="62" t="s">
        <v>150</v>
      </c>
    </row>
    <row r="52" spans="41:41" ht="15" customHeight="1" x14ac:dyDescent="0.2">
      <c r="AO52" s="62" t="s">
        <v>117</v>
      </c>
    </row>
    <row r="53" spans="41:41" ht="15" customHeight="1" x14ac:dyDescent="0.2">
      <c r="AO53" s="62" t="s">
        <v>120</v>
      </c>
    </row>
    <row r="54" spans="41:41" ht="15" customHeight="1" x14ac:dyDescent="0.2">
      <c r="AO54" s="62" t="s">
        <v>151</v>
      </c>
    </row>
    <row r="55" spans="41:41" ht="15" customHeight="1" x14ac:dyDescent="0.2">
      <c r="AO55" s="62" t="s">
        <v>152</v>
      </c>
    </row>
    <row r="56" spans="41:41" ht="15" customHeight="1" x14ac:dyDescent="0.2">
      <c r="AO56" s="62" t="s">
        <v>153</v>
      </c>
    </row>
    <row r="57" spans="41:41" ht="15" customHeight="1" x14ac:dyDescent="0.2">
      <c r="AO57" s="62" t="s">
        <v>154</v>
      </c>
    </row>
    <row r="58" spans="41:41" ht="15" customHeight="1" x14ac:dyDescent="0.2">
      <c r="AO58" s="62" t="s">
        <v>155</v>
      </c>
    </row>
    <row r="59" spans="41:41" ht="15" customHeight="1" x14ac:dyDescent="0.2">
      <c r="AO59" s="62" t="s">
        <v>156</v>
      </c>
    </row>
    <row r="60" spans="41:41" ht="15" customHeight="1" x14ac:dyDescent="0.2">
      <c r="AO60" s="62" t="s">
        <v>157</v>
      </c>
    </row>
    <row r="61" spans="41:41" ht="15" customHeight="1" x14ac:dyDescent="0.2">
      <c r="AO61" s="62" t="s">
        <v>158</v>
      </c>
    </row>
    <row r="62" spans="41:41" ht="15" customHeight="1" x14ac:dyDescent="0.2">
      <c r="AO62" s="62" t="s">
        <v>159</v>
      </c>
    </row>
    <row r="63" spans="41:41" ht="15" customHeight="1" x14ac:dyDescent="0.2">
      <c r="AO63" s="62" t="s">
        <v>160</v>
      </c>
    </row>
    <row r="64" spans="41:41" ht="15" customHeight="1" x14ac:dyDescent="0.2">
      <c r="AO64" s="62" t="s">
        <v>161</v>
      </c>
    </row>
    <row r="65" spans="41:41" ht="15" customHeight="1" x14ac:dyDescent="0.2">
      <c r="AO65" s="62" t="s">
        <v>162</v>
      </c>
    </row>
    <row r="66" spans="41:41" ht="15" customHeight="1" x14ac:dyDescent="0.2">
      <c r="AO66" s="62" t="s">
        <v>163</v>
      </c>
    </row>
    <row r="67" spans="41:41" ht="15" customHeight="1" x14ac:dyDescent="0.2">
      <c r="AO67" s="62" t="s">
        <v>164</v>
      </c>
    </row>
    <row r="68" spans="41:41" ht="15" customHeight="1" x14ac:dyDescent="0.2">
      <c r="AO68" s="62" t="s">
        <v>165</v>
      </c>
    </row>
    <row r="69" spans="41:41" ht="15" customHeight="1" x14ac:dyDescent="0.2">
      <c r="AO69" s="62" t="s">
        <v>166</v>
      </c>
    </row>
    <row r="70" spans="41:41" ht="15" customHeight="1" x14ac:dyDescent="0.2">
      <c r="AO70" s="62" t="s">
        <v>167</v>
      </c>
    </row>
    <row r="71" spans="41:41" ht="15" customHeight="1" x14ac:dyDescent="0.2">
      <c r="AO71" s="62" t="s">
        <v>168</v>
      </c>
    </row>
    <row r="72" spans="41:41" ht="15" customHeight="1" x14ac:dyDescent="0.2">
      <c r="AO72" s="62" t="s">
        <v>122</v>
      </c>
    </row>
    <row r="73" spans="41:41" ht="15" customHeight="1" x14ac:dyDescent="0.2">
      <c r="AO73" s="62" t="s">
        <v>169</v>
      </c>
    </row>
    <row r="74" spans="41:41" ht="15" customHeight="1" x14ac:dyDescent="0.2">
      <c r="AO74" s="62" t="s">
        <v>170</v>
      </c>
    </row>
    <row r="75" spans="41:41" ht="15" customHeight="1" x14ac:dyDescent="0.2">
      <c r="AO75" s="62" t="s">
        <v>171</v>
      </c>
    </row>
    <row r="76" spans="41:41" ht="15" customHeight="1" x14ac:dyDescent="0.2">
      <c r="AO76" s="62" t="s">
        <v>172</v>
      </c>
    </row>
    <row r="77" spans="41:41" ht="15" customHeight="1" x14ac:dyDescent="0.2">
      <c r="AO77" s="62" t="s">
        <v>173</v>
      </c>
    </row>
    <row r="78" spans="41:41" ht="15" customHeight="1" x14ac:dyDescent="0.2">
      <c r="AO78" s="62" t="s">
        <v>174</v>
      </c>
    </row>
    <row r="79" spans="41:41" ht="15" customHeight="1" x14ac:dyDescent="0.2">
      <c r="AO79" s="62" t="s">
        <v>175</v>
      </c>
    </row>
    <row r="80" spans="41:41" ht="15" customHeight="1" x14ac:dyDescent="0.2">
      <c r="AO80" s="62" t="s">
        <v>176</v>
      </c>
    </row>
    <row r="81" spans="41:41" ht="15" customHeight="1" x14ac:dyDescent="0.2">
      <c r="AO81" s="62" t="s">
        <v>177</v>
      </c>
    </row>
    <row r="82" spans="41:41" ht="15" customHeight="1" x14ac:dyDescent="0.2">
      <c r="AO82" s="62" t="s">
        <v>178</v>
      </c>
    </row>
    <row r="83" spans="41:41" ht="15" customHeight="1" x14ac:dyDescent="0.2">
      <c r="AO83" s="62" t="s">
        <v>179</v>
      </c>
    </row>
    <row r="84" spans="41:41" ht="15" customHeight="1" x14ac:dyDescent="0.2">
      <c r="AO84" s="62" t="s">
        <v>124</v>
      </c>
    </row>
    <row r="85" spans="41:41" ht="15" customHeight="1" x14ac:dyDescent="0.2">
      <c r="AO85" s="62" t="s">
        <v>180</v>
      </c>
    </row>
    <row r="86" spans="41:41" ht="15" customHeight="1" x14ac:dyDescent="0.2">
      <c r="AO86" s="62" t="s">
        <v>181</v>
      </c>
    </row>
    <row r="87" spans="41:41" ht="15" customHeight="1" x14ac:dyDescent="0.2">
      <c r="AO87" s="62" t="s">
        <v>182</v>
      </c>
    </row>
    <row r="88" spans="41:41" ht="15" customHeight="1" x14ac:dyDescent="0.2">
      <c r="AO88" s="62" t="s">
        <v>183</v>
      </c>
    </row>
    <row r="89" spans="41:41" ht="15" customHeight="1" x14ac:dyDescent="0.2">
      <c r="AO89" s="62" t="s">
        <v>184</v>
      </c>
    </row>
    <row r="90" spans="41:41" ht="15" customHeight="1" x14ac:dyDescent="0.2">
      <c r="AO90" s="62" t="s">
        <v>185</v>
      </c>
    </row>
    <row r="91" spans="41:41" ht="15" customHeight="1" x14ac:dyDescent="0.2">
      <c r="AO91" s="62" t="s">
        <v>186</v>
      </c>
    </row>
    <row r="92" spans="41:41" ht="15" customHeight="1" x14ac:dyDescent="0.2">
      <c r="AO92" s="63" t="s">
        <v>126</v>
      </c>
    </row>
    <row r="93" spans="41:41" ht="15" customHeight="1" x14ac:dyDescent="0.2">
      <c r="AO93" s="63" t="s">
        <v>187</v>
      </c>
    </row>
    <row r="94" spans="41:41" ht="15" customHeight="1" x14ac:dyDescent="0.2">
      <c r="AO94" s="63" t="s">
        <v>188</v>
      </c>
    </row>
    <row r="95" spans="41:41" ht="15" customHeight="1" x14ac:dyDescent="0.2">
      <c r="AO95" s="63" t="s">
        <v>189</v>
      </c>
    </row>
    <row r="96" spans="41:41" ht="15" customHeight="1" x14ac:dyDescent="0.2">
      <c r="AO96" s="63" t="s">
        <v>128</v>
      </c>
    </row>
    <row r="97" spans="41:41" ht="15" customHeight="1" x14ac:dyDescent="0.2">
      <c r="AO97" s="63" t="s">
        <v>190</v>
      </c>
    </row>
    <row r="98" spans="41:41" ht="15" customHeight="1" x14ac:dyDescent="0.2">
      <c r="AO98" s="63" t="s">
        <v>191</v>
      </c>
    </row>
    <row r="99" spans="41:41" ht="15" customHeight="1" x14ac:dyDescent="0.2">
      <c r="AO99" s="63" t="s">
        <v>192</v>
      </c>
    </row>
    <row r="100" spans="41:41" ht="15" customHeight="1" x14ac:dyDescent="0.2">
      <c r="AO100" s="63" t="s">
        <v>193</v>
      </c>
    </row>
    <row r="101" spans="41:41" ht="15" customHeight="1" x14ac:dyDescent="0.2">
      <c r="AO101" s="63" t="s">
        <v>194</v>
      </c>
    </row>
    <row r="102" spans="41:41" ht="15" customHeight="1" x14ac:dyDescent="0.2">
      <c r="AO102" s="63" t="s">
        <v>195</v>
      </c>
    </row>
    <row r="103" spans="41:41" ht="15" customHeight="1" x14ac:dyDescent="0.2">
      <c r="AO103" s="63" t="s">
        <v>196</v>
      </c>
    </row>
    <row r="104" spans="41:41" ht="15" customHeight="1" x14ac:dyDescent="0.2">
      <c r="AO104" s="63" t="s">
        <v>197</v>
      </c>
    </row>
  </sheetData>
  <sheetProtection formatCells="0" formatColumns="0" formatRows="0" insertColumns="0" insertRows="0" deleteColumns="0" deleteRows="0"/>
  <mergeCells count="39">
    <mergeCell ref="D8:E8"/>
    <mergeCell ref="E1:N1"/>
    <mergeCell ref="E2:N2"/>
    <mergeCell ref="K4:N4"/>
    <mergeCell ref="D7:H7"/>
    <mergeCell ref="I7:N7"/>
    <mergeCell ref="L13:N13"/>
    <mergeCell ref="E14:G14"/>
    <mergeCell ref="H14:J14"/>
    <mergeCell ref="L14:N14"/>
    <mergeCell ref="D15:E15"/>
    <mergeCell ref="E16:G16"/>
    <mergeCell ref="H16:J16"/>
    <mergeCell ref="D9:E9"/>
    <mergeCell ref="D10:E10"/>
    <mergeCell ref="D11:E11"/>
    <mergeCell ref="D12:E12"/>
    <mergeCell ref="E13:G13"/>
    <mergeCell ref="H13:J13"/>
    <mergeCell ref="E19:G19"/>
    <mergeCell ref="H19:J19"/>
    <mergeCell ref="E20:G20"/>
    <mergeCell ref="H20:J20"/>
    <mergeCell ref="E17:G17"/>
    <mergeCell ref="H17:J17"/>
    <mergeCell ref="E18:G18"/>
    <mergeCell ref="H18:J18"/>
    <mergeCell ref="E21:G21"/>
    <mergeCell ref="H21:J21"/>
    <mergeCell ref="L21:N21"/>
    <mergeCell ref="D22:E22"/>
    <mergeCell ref="E23:G23"/>
    <mergeCell ref="H23:J23"/>
    <mergeCell ref="D26:K26"/>
    <mergeCell ref="L26:N26"/>
    <mergeCell ref="H25:J25"/>
    <mergeCell ref="E25:G25"/>
    <mergeCell ref="E24:G24"/>
    <mergeCell ref="H24:J24"/>
  </mergeCells>
  <phoneticPr fontId="3" type="noConversion"/>
  <dataValidations count="1">
    <dataValidation type="list" allowBlank="1" showInputMessage="1" showErrorMessage="1" sqref="B16:B20 B23:B25" xr:uid="{00000000-0002-0000-1000-000000000000}">
      <formula1>$AO$16:$AO$104</formula1>
    </dataValidation>
  </dataValidations>
  <pageMargins left="0.51181102362204722" right="0.51181102362204722" top="0.74803149606299213" bottom="0.55118110236220474" header="0" footer="0"/>
  <pageSetup paperSize="9" scale="91" fitToHeight="0" orientation="landscape" horizontalDpi="4294967293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P102"/>
  <sheetViews>
    <sheetView showGridLines="0" topLeftCell="A13" zoomScale="85" zoomScaleNormal="85" zoomScaleSheetLayoutView="100" workbookViewId="0">
      <selection activeCell="P19" sqref="P19"/>
    </sheetView>
  </sheetViews>
  <sheetFormatPr defaultColWidth="9.140625" defaultRowHeight="12.75" customHeight="1" x14ac:dyDescent="0.2"/>
  <cols>
    <col min="1" max="1" width="9.140625" style="8" customWidth="1"/>
    <col min="2" max="2" width="4.42578125" style="8" customWidth="1"/>
    <col min="3" max="3" width="9.140625" style="8" customWidth="1"/>
    <col min="4" max="4" width="4.28515625" style="8" customWidth="1"/>
    <col min="5" max="5" width="4.7109375" style="8" customWidth="1"/>
    <col min="6" max="6" width="32.28515625" style="8" customWidth="1"/>
    <col min="7" max="7" width="2.42578125" style="8" customWidth="1"/>
    <col min="8" max="8" width="40.5703125" style="8" customWidth="1"/>
    <col min="9" max="9" width="21.5703125" style="8" customWidth="1"/>
    <col min="10" max="10" width="3" style="8" customWidth="1"/>
    <col min="11" max="11" width="28.85546875" style="8" customWidth="1"/>
    <col min="12" max="12" width="3.42578125" style="8" customWidth="1"/>
    <col min="13" max="40" width="9.140625" style="8" customWidth="1"/>
    <col min="41" max="41" width="4.28515625" style="8" customWidth="1"/>
    <col min="42" max="249" width="9.140625" style="8" customWidth="1"/>
    <col min="250" max="250" width="5.42578125" style="8" customWidth="1"/>
    <col min="251" max="256" width="9.140625" style="8" customWidth="1"/>
    <col min="257" max="257" width="5.42578125" style="8" customWidth="1"/>
    <col min="258" max="16384" width="9.140625" style="8"/>
  </cols>
  <sheetData>
    <row r="1" spans="1:42" s="9" customFormat="1" ht="18" x14ac:dyDescent="0.25">
      <c r="A1" s="7"/>
      <c r="B1" s="7"/>
      <c r="C1" s="7"/>
      <c r="D1" s="456"/>
      <c r="E1" s="453"/>
      <c r="F1" s="453"/>
      <c r="G1" s="453"/>
      <c r="H1" s="453"/>
      <c r="I1" s="453"/>
      <c r="J1" s="453"/>
      <c r="K1" s="453"/>
      <c r="L1" s="313"/>
      <c r="M1" s="7"/>
      <c r="N1" s="7"/>
      <c r="O1" s="7"/>
      <c r="P1" s="7"/>
    </row>
    <row r="2" spans="1:42" s="9" customFormat="1" ht="15.75" x14ac:dyDescent="0.25">
      <c r="A2" s="7"/>
      <c r="B2" s="7"/>
      <c r="C2" s="7"/>
      <c r="D2" s="456"/>
      <c r="E2" s="1289" t="s">
        <v>368</v>
      </c>
      <c r="F2" s="1290"/>
      <c r="G2" s="1290"/>
      <c r="H2" s="1290"/>
      <c r="I2" s="1290"/>
      <c r="J2" s="1290"/>
      <c r="K2" s="1290"/>
      <c r="L2" s="313"/>
      <c r="M2" s="7"/>
      <c r="N2" s="7"/>
      <c r="O2" s="7"/>
      <c r="P2" s="7"/>
    </row>
    <row r="3" spans="1:42" s="9" customFormat="1" ht="15.75" x14ac:dyDescent="0.25">
      <c r="A3" s="7"/>
      <c r="B3" s="7"/>
      <c r="C3" s="7"/>
      <c r="D3" s="456"/>
      <c r="E3" s="1289" t="s">
        <v>369</v>
      </c>
      <c r="F3" s="1290"/>
      <c r="G3" s="1290"/>
      <c r="H3" s="1290"/>
      <c r="I3" s="1290"/>
      <c r="J3" s="1290"/>
      <c r="K3" s="1290"/>
      <c r="L3" s="313"/>
      <c r="M3" s="7"/>
      <c r="N3" s="7"/>
      <c r="O3" s="7"/>
      <c r="P3" s="7"/>
    </row>
    <row r="4" spans="1:42" s="9" customFormat="1" ht="15" x14ac:dyDescent="0.25">
      <c r="A4" s="7"/>
      <c r="B4" s="7"/>
      <c r="C4" s="7"/>
      <c r="D4" s="456"/>
      <c r="E4" s="541"/>
      <c r="F4" s="538"/>
      <c r="G4" s="538"/>
      <c r="H4" s="538"/>
      <c r="I4" s="538"/>
      <c r="J4" s="538"/>
      <c r="K4" s="538"/>
      <c r="L4" s="313"/>
      <c r="M4" s="7"/>
      <c r="N4" s="7"/>
      <c r="O4" s="7"/>
      <c r="P4" s="7"/>
    </row>
    <row r="5" spans="1:42" s="9" customFormat="1" ht="18" x14ac:dyDescent="0.25">
      <c r="A5" s="7"/>
      <c r="B5" s="7"/>
      <c r="C5" s="7"/>
      <c r="D5" s="456"/>
      <c r="E5" s="453"/>
      <c r="F5" s="535" t="s">
        <v>348</v>
      </c>
      <c r="G5" s="535" t="s">
        <v>16</v>
      </c>
      <c r="H5" s="539" t="str">
        <f>'DATA SKP2'!F3</f>
        <v>MTs Negeri 5 Sleman</v>
      </c>
      <c r="I5" s="542" t="s">
        <v>349</v>
      </c>
      <c r="J5" s="456"/>
      <c r="K5" s="460"/>
      <c r="L5" s="313"/>
      <c r="M5" s="7"/>
      <c r="N5" s="7"/>
      <c r="O5" s="7"/>
      <c r="P5" s="7"/>
    </row>
    <row r="6" spans="1:42" s="9" customFormat="1" x14ac:dyDescent="0.2">
      <c r="A6" s="7"/>
      <c r="B6" s="7"/>
      <c r="C6" s="7"/>
      <c r="D6" s="456"/>
      <c r="E6" s="10"/>
      <c r="F6" s="10"/>
      <c r="G6" s="10"/>
      <c r="H6" s="10"/>
      <c r="I6" s="461" t="str">
        <f>PERIODE!E12</f>
        <v>01 Juli s.d. 31 Desember 2021</v>
      </c>
      <c r="J6" s="456"/>
      <c r="K6" s="461"/>
      <c r="L6" s="313"/>
      <c r="M6" s="7"/>
      <c r="N6" s="7"/>
      <c r="O6" s="7"/>
      <c r="P6" s="7"/>
    </row>
    <row r="7" spans="1:42" s="13" customFormat="1" ht="21.95" customHeight="1" x14ac:dyDescent="0.2">
      <c r="A7" s="11"/>
      <c r="B7" s="11"/>
      <c r="C7" s="11"/>
      <c r="D7" s="457"/>
      <c r="E7" s="981" t="s">
        <v>85</v>
      </c>
      <c r="F7" s="982"/>
      <c r="G7" s="982"/>
      <c r="H7" s="982"/>
      <c r="I7" s="982" t="s">
        <v>86</v>
      </c>
      <c r="J7" s="982"/>
      <c r="K7" s="984"/>
      <c r="L7" s="314"/>
      <c r="M7" s="11"/>
      <c r="N7" s="11"/>
      <c r="O7" s="11"/>
      <c r="P7" s="11"/>
    </row>
    <row r="8" spans="1:42" s="18" customFormat="1" ht="18" customHeight="1" x14ac:dyDescent="0.2">
      <c r="A8" s="14"/>
      <c r="B8" s="14"/>
      <c r="C8" s="14"/>
      <c r="D8" s="458"/>
      <c r="E8" s="64"/>
      <c r="F8" s="449" t="s">
        <v>2</v>
      </c>
      <c r="G8" s="449" t="s">
        <v>16</v>
      </c>
      <c r="H8" s="643" t="str">
        <f>'DATA SKP2'!F12</f>
        <v>Drs. Busyroni Majid, M.Si</v>
      </c>
      <c r="I8" s="449" t="s">
        <v>2</v>
      </c>
      <c r="J8" s="543" t="s">
        <v>16</v>
      </c>
      <c r="K8" s="452" t="str">
        <f>'DATA SKP2'!F6</f>
        <v>Sirajudin, S.Pd</v>
      </c>
      <c r="L8" s="315"/>
      <c r="M8" s="14"/>
      <c r="N8" s="14"/>
      <c r="O8" s="14"/>
      <c r="P8" s="14"/>
    </row>
    <row r="9" spans="1:42" s="18" customFormat="1" ht="18" customHeight="1" x14ac:dyDescent="0.2">
      <c r="A9" s="14"/>
      <c r="B9" s="14"/>
      <c r="C9" s="14"/>
      <c r="D9" s="458"/>
      <c r="E9" s="454"/>
      <c r="F9" s="447" t="s">
        <v>3</v>
      </c>
      <c r="G9" s="447" t="s">
        <v>16</v>
      </c>
      <c r="H9" s="647" t="str">
        <f>'DATA SKP2'!F13</f>
        <v>19690921 199503 1 001</v>
      </c>
      <c r="I9" s="447" t="s">
        <v>3</v>
      </c>
      <c r="J9" s="544" t="s">
        <v>16</v>
      </c>
      <c r="K9" s="450" t="str">
        <f>'DATA SKP2'!F7</f>
        <v>19730115 200710 1 001</v>
      </c>
      <c r="L9" s="315"/>
      <c r="M9" s="14"/>
      <c r="N9" s="14"/>
      <c r="O9" s="14"/>
      <c r="P9" s="14"/>
    </row>
    <row r="10" spans="1:42" s="18" customFormat="1" ht="21.75" customHeight="1" x14ac:dyDescent="0.2">
      <c r="A10" s="14"/>
      <c r="B10" s="14"/>
      <c r="C10" s="14"/>
      <c r="D10" s="458"/>
      <c r="E10" s="454"/>
      <c r="F10" s="447" t="s">
        <v>106</v>
      </c>
      <c r="G10" s="447" t="s">
        <v>16</v>
      </c>
      <c r="H10" s="647" t="str">
        <f>'DATA SKP2'!F14</f>
        <v>Pembina, Gol. IV/a</v>
      </c>
      <c r="I10" s="447" t="s">
        <v>106</v>
      </c>
      <c r="J10" s="544" t="s">
        <v>16</v>
      </c>
      <c r="K10" s="450" t="str">
        <f>'DATA SKP2'!F8</f>
        <v>Penata Muda, Gol. III/a</v>
      </c>
      <c r="L10" s="315"/>
      <c r="M10" s="14"/>
      <c r="N10" s="14"/>
      <c r="O10" s="14"/>
      <c r="P10" s="14"/>
    </row>
    <row r="11" spans="1:42" s="18" customFormat="1" ht="18" customHeight="1" x14ac:dyDescent="0.2">
      <c r="A11" s="14"/>
      <c r="B11" s="14"/>
      <c r="C11" s="14"/>
      <c r="D11" s="458"/>
      <c r="E11" s="454"/>
      <c r="F11" s="447" t="s">
        <v>42</v>
      </c>
      <c r="G11" s="447" t="s">
        <v>16</v>
      </c>
      <c r="H11" s="647" t="str">
        <f>'DATA SKP2'!F15&amp;" / "&amp;'DATA SKP2'!G15</f>
        <v>Guru Madya / Kepala Madrasah</v>
      </c>
      <c r="I11" s="447" t="s">
        <v>42</v>
      </c>
      <c r="J11" s="544" t="s">
        <v>16</v>
      </c>
      <c r="K11" s="450" t="str">
        <f>'DATA SKP2'!F9&amp;" / "&amp;'DATA SKP2'!G9</f>
        <v>Guru Pertama / Guru</v>
      </c>
      <c r="L11" s="315"/>
      <c r="M11" s="14"/>
      <c r="N11" s="14"/>
      <c r="O11" s="14"/>
      <c r="P11" s="14"/>
    </row>
    <row r="12" spans="1:42" s="18" customFormat="1" ht="18" customHeight="1" x14ac:dyDescent="0.2">
      <c r="A12" s="14"/>
      <c r="B12" s="14"/>
      <c r="C12" s="14"/>
      <c r="D12" s="458"/>
      <c r="E12" s="455"/>
      <c r="F12" s="448" t="s">
        <v>5</v>
      </c>
      <c r="G12" s="448" t="s">
        <v>16</v>
      </c>
      <c r="H12" s="644" t="str">
        <f>'DATA SKP2'!F16</f>
        <v>MTs Negeri 5 Sleman</v>
      </c>
      <c r="I12" s="448" t="s">
        <v>5</v>
      </c>
      <c r="J12" s="545" t="s">
        <v>16</v>
      </c>
      <c r="K12" s="451" t="str">
        <f>'DATA SKP2'!F10</f>
        <v>MTs Negeri 5 Sleman</v>
      </c>
      <c r="L12" s="315"/>
      <c r="M12" s="14"/>
      <c r="N12" s="14"/>
      <c r="O12" s="14"/>
      <c r="P12" s="14"/>
    </row>
    <row r="13" spans="1:42" s="27" customFormat="1" ht="18.75" customHeight="1" x14ac:dyDescent="0.2">
      <c r="A13" s="23"/>
      <c r="B13" s="23"/>
      <c r="C13" s="23"/>
      <c r="D13" s="459"/>
      <c r="E13" s="24">
        <v>1</v>
      </c>
      <c r="F13" s="28" t="s">
        <v>351</v>
      </c>
      <c r="G13" s="645"/>
      <c r="H13" s="646" t="s">
        <v>370</v>
      </c>
      <c r="I13" s="993" t="s">
        <v>371</v>
      </c>
      <c r="J13" s="994"/>
      <c r="K13" s="422" t="s">
        <v>372</v>
      </c>
      <c r="L13" s="316"/>
      <c r="M13" s="23"/>
      <c r="N13" s="23"/>
      <c r="O13" s="23"/>
      <c r="P13" s="23"/>
    </row>
    <row r="14" spans="1:42" s="27" customFormat="1" ht="16.5" customHeight="1" x14ac:dyDescent="0.2">
      <c r="A14" s="23"/>
      <c r="B14" s="23"/>
      <c r="C14" s="23"/>
      <c r="D14" s="459"/>
      <c r="E14" s="462" t="s">
        <v>354</v>
      </c>
      <c r="F14" s="463" t="s">
        <v>355</v>
      </c>
      <c r="G14" s="1291" t="s">
        <v>356</v>
      </c>
      <c r="H14" s="996"/>
      <c r="I14" s="1291" t="s">
        <v>357</v>
      </c>
      <c r="J14" s="1292"/>
      <c r="K14" s="464" t="s">
        <v>358</v>
      </c>
      <c r="L14" s="316"/>
      <c r="M14" s="23"/>
      <c r="N14" s="23"/>
      <c r="O14" s="23"/>
      <c r="P14" s="23"/>
    </row>
    <row r="15" spans="1:42" s="27" customFormat="1" ht="18.75" customHeight="1" x14ac:dyDescent="0.2">
      <c r="A15" s="23"/>
      <c r="B15" s="23"/>
      <c r="C15" s="23"/>
      <c r="D15" s="459"/>
      <c r="E15" s="28"/>
      <c r="F15" s="680" t="s">
        <v>111</v>
      </c>
      <c r="G15" s="680"/>
      <c r="H15" s="994"/>
      <c r="I15" s="994"/>
      <c r="J15" s="994"/>
      <c r="K15" s="996"/>
      <c r="L15" s="316"/>
      <c r="M15" s="23"/>
      <c r="N15" s="23"/>
      <c r="O15" s="23"/>
      <c r="P15" s="23"/>
    </row>
    <row r="16" spans="1:42" s="18" customFormat="1" ht="69" customHeight="1" x14ac:dyDescent="0.2">
      <c r="B16" s="31" t="s">
        <v>112</v>
      </c>
      <c r="D16" s="458"/>
      <c r="E16" s="681">
        <v>1</v>
      </c>
      <c r="F16" s="682" t="e">
        <f>IF(#REF!="","",#REF!)</f>
        <v>#REF!</v>
      </c>
      <c r="G16" s="458"/>
      <c r="H16" s="547" t="str">
        <f>VLOOKUP(B16,AK,2)</f>
        <v>Merencanakan dan melaksanakan pembelajaran, mengevaluasi dan menilai hasil pembelajaran, menganalisis hasil pembelajaran, melaksanakan tindak lanjut hasil penilaian. (05)</v>
      </c>
      <c r="I16" s="683" t="s">
        <v>374</v>
      </c>
      <c r="J16" s="548"/>
      <c r="K16" s="546">
        <f>VLOOKUP(B16,'KEGIATAN GURU2'!$B$12:$T$90,19)</f>
        <v>10.5</v>
      </c>
      <c r="L16" s="315"/>
      <c r="M16" s="14"/>
      <c r="N16" s="684"/>
      <c r="O16" s="684"/>
      <c r="P16" s="684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7" t="s">
        <v>114</v>
      </c>
      <c r="AP16" s="36"/>
    </row>
    <row r="17" spans="2:42" s="42" customFormat="1" ht="33" customHeight="1" x14ac:dyDescent="0.2">
      <c r="B17" s="31" t="s">
        <v>141</v>
      </c>
      <c r="D17" s="685"/>
      <c r="E17" s="686">
        <v>2</v>
      </c>
      <c r="F17" s="682" t="e">
        <f>IF(#REF!="","",#REF!)</f>
        <v>#REF!</v>
      </c>
      <c r="G17" s="548"/>
      <c r="H17" s="547" t="str">
        <f t="shared" ref="H17:H30" si="0">VLOOKUP(B17,AK,2)</f>
        <v>Menjadi pembimbing pada penyusunan publikasi ilmiah dan karya inovatif. (17)</v>
      </c>
      <c r="I17" s="687" t="s">
        <v>375</v>
      </c>
      <c r="J17" s="688"/>
      <c r="K17" s="546">
        <f>VLOOKUP(B17,'KEGIATAN GURU2'!$B$12:$T$90,19)</f>
        <v>0.21</v>
      </c>
      <c r="L17" s="689"/>
      <c r="M17" s="38"/>
      <c r="N17" s="690"/>
      <c r="O17" s="690"/>
      <c r="P17" s="690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37" t="s">
        <v>112</v>
      </c>
      <c r="AP17" s="41"/>
    </row>
    <row r="18" spans="2:42" s="42" customFormat="1" ht="26.25" customHeight="1" x14ac:dyDescent="0.2">
      <c r="B18" s="31" t="s">
        <v>149</v>
      </c>
      <c r="D18" s="685"/>
      <c r="E18" s="686">
        <v>3</v>
      </c>
      <c r="F18" s="682" t="e">
        <f>IF(#REF!="","",#REF!)</f>
        <v>#REF!</v>
      </c>
      <c r="G18" s="548"/>
      <c r="H18" s="547" t="str">
        <f t="shared" si="0"/>
        <v>Mengikuti lokakarya atau kegiatan bersama (seperti kelompok kerja guru) untuk penyusunan perangkat kurikulum dan atau pembelajaran. (25)</v>
      </c>
      <c r="I18" s="687" t="s">
        <v>415</v>
      </c>
      <c r="J18" s="691"/>
      <c r="K18" s="546">
        <f>VLOOKUP(B18,'KEGIATAN GURU2'!$B$12:$T$90,19)</f>
        <v>0.15</v>
      </c>
      <c r="L18" s="689"/>
      <c r="M18" s="38"/>
      <c r="N18" s="690"/>
      <c r="O18" s="690"/>
      <c r="P18" s="690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37" t="s">
        <v>119</v>
      </c>
      <c r="AP18" s="41"/>
    </row>
    <row r="19" spans="2:42" s="42" customFormat="1" ht="35.25" customHeight="1" x14ac:dyDescent="0.2">
      <c r="B19" s="31" t="s">
        <v>117</v>
      </c>
      <c r="D19" s="685"/>
      <c r="E19" s="681">
        <v>4</v>
      </c>
      <c r="F19" s="682" t="e">
        <f>IF(#REF!="","",#REF!)</f>
        <v>#REF!</v>
      </c>
      <c r="G19" s="548"/>
      <c r="H19" s="547" t="str">
        <f t="shared" si="0"/>
        <v>Menjadi peserta pada kegiatan ilmiah. (27)</v>
      </c>
      <c r="I19" s="687" t="s">
        <v>118</v>
      </c>
      <c r="J19" s="691"/>
      <c r="K19" s="546">
        <f>VLOOKUP(B19,'KEGIATAN GURU2'!$B$12:$T$90,19)</f>
        <v>0.1</v>
      </c>
      <c r="L19" s="689"/>
      <c r="M19" s="38"/>
      <c r="N19" s="690"/>
      <c r="O19" s="690"/>
      <c r="P19" s="690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37" t="s">
        <v>121</v>
      </c>
      <c r="AP19" s="41"/>
    </row>
    <row r="20" spans="2:42" s="42" customFormat="1" ht="26.25" customHeight="1" x14ac:dyDescent="0.2">
      <c r="B20" s="31" t="s">
        <v>176</v>
      </c>
      <c r="D20" s="685"/>
      <c r="E20" s="686">
        <v>5</v>
      </c>
      <c r="F20" s="682" t="e">
        <f>IF(#REF!="","",#REF!)</f>
        <v>#REF!</v>
      </c>
      <c r="G20" s="548"/>
      <c r="H20" s="547" t="str">
        <f t="shared" si="0"/>
        <v>Menemukan/menciptakan karya seni kategori sederhana. (55)</v>
      </c>
      <c r="I20" s="687" t="s">
        <v>558</v>
      </c>
      <c r="J20" s="691"/>
      <c r="K20" s="546">
        <f>VLOOKUP(B20,'KEGIATAN GURU2'!$B$12:$T$90,19)</f>
        <v>2</v>
      </c>
      <c r="L20" s="689"/>
      <c r="M20" s="38"/>
      <c r="N20" s="690"/>
      <c r="O20" s="690"/>
      <c r="P20" s="690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37" t="s">
        <v>123</v>
      </c>
      <c r="AP20" s="41"/>
    </row>
    <row r="21" spans="2:42" s="42" customFormat="1" ht="23.25" customHeight="1" x14ac:dyDescent="0.2">
      <c r="B21" s="31" t="s">
        <v>114</v>
      </c>
      <c r="D21" s="685"/>
      <c r="E21" s="686">
        <v>6</v>
      </c>
      <c r="F21" s="682" t="e">
        <f>IF(#REF!="","",#REF!)</f>
        <v>#REF!</v>
      </c>
      <c r="G21" s="548"/>
      <c r="H21" s="547" t="str">
        <f t="shared" si="0"/>
        <v>-</v>
      </c>
      <c r="I21" s="683"/>
      <c r="J21" s="692"/>
      <c r="K21" s="546">
        <f>VLOOKUP(B21,'KEGIATAN GURU2'!$B$12:$T$90,19)</f>
        <v>0</v>
      </c>
      <c r="L21" s="689"/>
      <c r="M21" s="38"/>
      <c r="N21" s="690" t="s">
        <v>414</v>
      </c>
      <c r="O21" s="690"/>
      <c r="P21" s="690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37" t="s">
        <v>125</v>
      </c>
      <c r="AP21" s="41"/>
    </row>
    <row r="22" spans="2:42" s="42" customFormat="1" ht="23.25" customHeight="1" x14ac:dyDescent="0.2">
      <c r="B22" s="31" t="s">
        <v>114</v>
      </c>
      <c r="D22" s="685"/>
      <c r="E22" s="686">
        <v>7</v>
      </c>
      <c r="F22" s="682" t="e">
        <f>IF(#REF!="","",#REF!)</f>
        <v>#REF!</v>
      </c>
      <c r="G22" s="548"/>
      <c r="H22" s="547" t="str">
        <f t="shared" si="0"/>
        <v>-</v>
      </c>
      <c r="I22" s="683"/>
      <c r="J22" s="692"/>
      <c r="K22" s="546">
        <f>VLOOKUP(B22,'KEGIATAN GURU2'!$B$12:$T$90,19)</f>
        <v>0</v>
      </c>
      <c r="L22" s="689"/>
      <c r="M22" s="38"/>
      <c r="N22" s="690"/>
      <c r="O22" s="690"/>
      <c r="P22" s="690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37" t="s">
        <v>127</v>
      </c>
      <c r="AP22" s="41"/>
    </row>
    <row r="23" spans="2:42" s="42" customFormat="1" ht="23.25" customHeight="1" x14ac:dyDescent="0.2">
      <c r="B23" s="31" t="s">
        <v>114</v>
      </c>
      <c r="D23" s="685"/>
      <c r="E23" s="686">
        <v>8</v>
      </c>
      <c r="F23" s="682" t="e">
        <f>IF(#REF!="","",#REF!)</f>
        <v>#REF!</v>
      </c>
      <c r="G23" s="548"/>
      <c r="H23" s="547" t="str">
        <f t="shared" si="0"/>
        <v>-</v>
      </c>
      <c r="I23" s="683"/>
      <c r="J23" s="692"/>
      <c r="K23" s="546">
        <f>VLOOKUP(B23,'KEGIATAN GURU'!$B$12:$T$90,19)</f>
        <v>0</v>
      </c>
      <c r="L23" s="689"/>
      <c r="M23" s="38"/>
      <c r="N23" s="690"/>
      <c r="O23" s="690"/>
      <c r="P23" s="690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3" t="s">
        <v>129</v>
      </c>
      <c r="AP23" s="41"/>
    </row>
    <row r="24" spans="2:42" s="42" customFormat="1" ht="23.25" customHeight="1" x14ac:dyDescent="0.2">
      <c r="B24" s="31" t="s">
        <v>114</v>
      </c>
      <c r="D24" s="685"/>
      <c r="E24" s="686"/>
      <c r="F24" s="682" t="e">
        <f>IF(#REF!="","",#REF!)</f>
        <v>#REF!</v>
      </c>
      <c r="G24" s="548"/>
      <c r="H24" s="547" t="str">
        <f t="shared" si="0"/>
        <v>-</v>
      </c>
      <c r="I24" s="683"/>
      <c r="J24" s="692"/>
      <c r="K24" s="546">
        <f>VLOOKUP(B24,'KEGIATAN GURU'!$B$12:$T$90,19)</f>
        <v>0</v>
      </c>
      <c r="L24" s="689"/>
      <c r="M24" s="38"/>
      <c r="N24" s="690"/>
      <c r="O24" s="690"/>
      <c r="P24" s="690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3"/>
      <c r="AP24" s="41"/>
    </row>
    <row r="25" spans="2:42" s="42" customFormat="1" ht="23.25" customHeight="1" x14ac:dyDescent="0.2">
      <c r="B25" s="31" t="s">
        <v>114</v>
      </c>
      <c r="D25" s="685"/>
      <c r="E25" s="686"/>
      <c r="F25" s="682" t="e">
        <f>IF(#REF!="","",#REF!)</f>
        <v>#REF!</v>
      </c>
      <c r="G25" s="548"/>
      <c r="H25" s="547" t="str">
        <f t="shared" si="0"/>
        <v>-</v>
      </c>
      <c r="I25" s="683"/>
      <c r="J25" s="692"/>
      <c r="K25" s="546">
        <f>VLOOKUP(B25,'KEGIATAN GURU'!$B$12:$T$90,19)</f>
        <v>0</v>
      </c>
      <c r="L25" s="689"/>
      <c r="M25" s="38"/>
      <c r="N25" s="690"/>
      <c r="O25" s="690"/>
      <c r="P25" s="690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3"/>
      <c r="AP25" s="41"/>
    </row>
    <row r="26" spans="2:42" s="42" customFormat="1" ht="23.25" customHeight="1" x14ac:dyDescent="0.2">
      <c r="B26" s="31" t="s">
        <v>114</v>
      </c>
      <c r="D26" s="685"/>
      <c r="E26" s="686"/>
      <c r="F26" s="682" t="e">
        <f>IF(#REF!="","",#REF!)</f>
        <v>#REF!</v>
      </c>
      <c r="G26" s="548"/>
      <c r="H26" s="547" t="str">
        <f t="shared" si="0"/>
        <v>-</v>
      </c>
      <c r="I26" s="683"/>
      <c r="J26" s="692"/>
      <c r="K26" s="546">
        <f>VLOOKUP(B26,'KEGIATAN GURU'!$B$12:$T$90,19)</f>
        <v>0</v>
      </c>
      <c r="L26" s="689"/>
      <c r="M26" s="38"/>
      <c r="N26" s="690"/>
      <c r="O26" s="690"/>
      <c r="P26" s="690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3"/>
      <c r="AP26" s="41"/>
    </row>
    <row r="27" spans="2:42" s="42" customFormat="1" ht="23.25" customHeight="1" x14ac:dyDescent="0.2">
      <c r="B27" s="31" t="s">
        <v>114</v>
      </c>
      <c r="D27" s="685"/>
      <c r="E27" s="686">
        <v>9</v>
      </c>
      <c r="F27" s="682" t="e">
        <f>IF(#REF!="","",#REF!)</f>
        <v>#REF!</v>
      </c>
      <c r="G27" s="548"/>
      <c r="H27" s="547" t="str">
        <f t="shared" si="0"/>
        <v>-</v>
      </c>
      <c r="I27" s="683"/>
      <c r="J27" s="692"/>
      <c r="K27" s="546">
        <f>VLOOKUP(B27,'KEGIATAN GURU'!$B$12:$T$90,19)</f>
        <v>0</v>
      </c>
      <c r="L27" s="689"/>
      <c r="M27" s="38"/>
      <c r="N27" s="690"/>
      <c r="O27" s="690"/>
      <c r="P27" s="690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3" t="s">
        <v>130</v>
      </c>
      <c r="AP27" s="41"/>
    </row>
    <row r="28" spans="2:42" s="42" customFormat="1" ht="23.25" customHeight="1" x14ac:dyDescent="0.2">
      <c r="B28" s="31" t="s">
        <v>114</v>
      </c>
      <c r="D28" s="685"/>
      <c r="E28" s="686">
        <v>10</v>
      </c>
      <c r="F28" s="682" t="e">
        <f>IF(#REF!="","",#REF!)</f>
        <v>#REF!</v>
      </c>
      <c r="G28" s="548"/>
      <c r="H28" s="547" t="str">
        <f t="shared" si="0"/>
        <v>-</v>
      </c>
      <c r="I28" s="683"/>
      <c r="J28" s="692"/>
      <c r="K28" s="546">
        <f>VLOOKUP(B28,'KEGIATAN GURU'!$B$12:$T$90,19)</f>
        <v>0</v>
      </c>
      <c r="L28" s="689"/>
      <c r="M28" s="38"/>
      <c r="N28" s="690"/>
      <c r="O28" s="690"/>
      <c r="P28" s="690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3"/>
      <c r="AP28" s="41"/>
    </row>
    <row r="29" spans="2:42" s="42" customFormat="1" ht="23.25" customHeight="1" x14ac:dyDescent="0.2">
      <c r="B29" s="31" t="s">
        <v>114</v>
      </c>
      <c r="D29" s="685"/>
      <c r="E29" s="686">
        <v>11</v>
      </c>
      <c r="F29" s="682" t="e">
        <f>IF(#REF!="","",#REF!)</f>
        <v>#REF!</v>
      </c>
      <c r="G29" s="548"/>
      <c r="H29" s="547" t="str">
        <f t="shared" si="0"/>
        <v>-</v>
      </c>
      <c r="I29" s="683"/>
      <c r="J29" s="692"/>
      <c r="K29" s="546">
        <f>VLOOKUP(B29,'KEGIATAN GURU'!$B$12:$T$90,19)</f>
        <v>0</v>
      </c>
      <c r="L29" s="689"/>
      <c r="M29" s="38"/>
      <c r="N29" s="690"/>
      <c r="O29" s="690"/>
      <c r="P29" s="690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3"/>
      <c r="AP29" s="41"/>
    </row>
    <row r="30" spans="2:42" s="42" customFormat="1" ht="23.25" customHeight="1" x14ac:dyDescent="0.2">
      <c r="B30" s="31" t="s">
        <v>114</v>
      </c>
      <c r="D30" s="685"/>
      <c r="E30" s="686">
        <v>12</v>
      </c>
      <c r="F30" s="682" t="e">
        <f>IF(#REF!="","",#REF!)</f>
        <v>#REF!</v>
      </c>
      <c r="G30" s="548"/>
      <c r="H30" s="547" t="str">
        <f t="shared" si="0"/>
        <v>-</v>
      </c>
      <c r="I30" s="683"/>
      <c r="J30" s="692"/>
      <c r="K30" s="546">
        <f>VLOOKUP(B30,'KEGIATAN GURU'!$B$12:$T$90,19)</f>
        <v>0</v>
      </c>
      <c r="L30" s="689"/>
      <c r="M30" s="38"/>
      <c r="N30" s="690"/>
      <c r="O30" s="690"/>
      <c r="P30" s="690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3" t="s">
        <v>131</v>
      </c>
      <c r="AP30" s="41"/>
    </row>
    <row r="31" spans="2:42" s="42" customFormat="1" ht="21.95" customHeight="1" x14ac:dyDescent="0.2">
      <c r="D31" s="685"/>
      <c r="E31" s="681"/>
      <c r="F31" s="1294" t="s">
        <v>132</v>
      </c>
      <c r="G31" s="1294"/>
      <c r="H31" s="1294"/>
      <c r="I31" s="1294"/>
      <c r="J31" s="1294"/>
      <c r="K31" s="723">
        <f>SUM(K16:K30)</f>
        <v>12.96</v>
      </c>
      <c r="L31" s="689"/>
      <c r="M31" s="38"/>
      <c r="N31" s="690"/>
      <c r="O31" s="690"/>
      <c r="P31" s="690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37" t="s">
        <v>133</v>
      </c>
      <c r="AP31" s="41"/>
    </row>
    <row r="32" spans="2:42" s="42" customFormat="1" ht="21.95" hidden="1" customHeight="1" x14ac:dyDescent="0.2">
      <c r="D32" s="685"/>
      <c r="E32" s="694"/>
      <c r="F32" s="695" t="s">
        <v>19</v>
      </c>
      <c r="G32" s="696"/>
      <c r="H32" s="697"/>
      <c r="I32" s="698"/>
      <c r="J32" s="699"/>
      <c r="K32" s="693" t="e">
        <f>VLOOKUP(B32,'KEGIATAN GURU'!$B$12:$T$90,19)</f>
        <v>#N/A</v>
      </c>
      <c r="L32" s="689"/>
      <c r="M32" s="38"/>
      <c r="N32" s="690"/>
      <c r="O32" s="690"/>
      <c r="P32" s="690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37"/>
      <c r="AP32" s="41"/>
    </row>
    <row r="33" spans="4:42" s="42" customFormat="1" ht="15.75" hidden="1" customHeight="1" x14ac:dyDescent="0.2">
      <c r="D33" s="685"/>
      <c r="E33" s="648">
        <v>1</v>
      </c>
      <c r="F33" s="1293" t="s">
        <v>17</v>
      </c>
      <c r="G33" s="1293"/>
      <c r="H33" s="1293"/>
      <c r="I33" s="1293"/>
      <c r="J33" s="1293"/>
      <c r="K33" s="693" t="e">
        <f>VLOOKUP(B33,'KEGIATAN GURU'!$B$12:$T$90,19)</f>
        <v>#N/A</v>
      </c>
      <c r="L33" s="689"/>
      <c r="M33" s="38"/>
      <c r="N33" s="690"/>
      <c r="O33" s="690"/>
      <c r="P33" s="690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37"/>
      <c r="AP33" s="41"/>
    </row>
    <row r="34" spans="4:42" s="53" customFormat="1" ht="15.75" hidden="1" customHeight="1" x14ac:dyDescent="0.2">
      <c r="D34" s="700"/>
      <c r="E34" s="648">
        <v>2</v>
      </c>
      <c r="F34" s="1293" t="s">
        <v>18</v>
      </c>
      <c r="G34" s="1293"/>
      <c r="H34" s="1293"/>
      <c r="I34" s="1293"/>
      <c r="J34" s="1293"/>
      <c r="K34" s="693" t="e">
        <f>VLOOKUP(B34,'KEGIATAN GURU'!$B$12:$T$90,19)</f>
        <v>#N/A</v>
      </c>
      <c r="L34" s="701"/>
      <c r="M34" s="47"/>
      <c r="N34" s="702"/>
      <c r="O34" s="702"/>
      <c r="P34" s="702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2" t="s">
        <v>134</v>
      </c>
      <c r="AP34" s="51"/>
    </row>
    <row r="35" spans="4:42" s="53" customFormat="1" ht="15.75" hidden="1" customHeight="1" x14ac:dyDescent="0.2">
      <c r="D35" s="700"/>
      <c r="E35" s="703"/>
      <c r="F35" s="704"/>
      <c r="G35" s="704"/>
      <c r="H35" s="704"/>
      <c r="I35" s="704"/>
      <c r="J35" s="704"/>
      <c r="K35" s="693" t="e">
        <f>VLOOKUP(B35,'KEGIATAN GURU'!$B$12:$T$90,19)</f>
        <v>#N/A</v>
      </c>
      <c r="L35" s="701"/>
      <c r="M35" s="47"/>
      <c r="N35" s="702"/>
      <c r="O35" s="702"/>
      <c r="P35" s="702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2"/>
      <c r="AP35" s="51"/>
    </row>
    <row r="36" spans="4:42" s="53" customFormat="1" hidden="1" x14ac:dyDescent="0.2">
      <c r="D36" s="700"/>
      <c r="E36" s="705"/>
      <c r="F36" s="706"/>
      <c r="G36" s="706"/>
      <c r="H36" s="705"/>
      <c r="I36" s="707"/>
      <c r="J36" s="55"/>
      <c r="K36" s="693" t="e">
        <f>VLOOKUP(B36,'KEGIATAN GURU'!$B$12:$T$90,19)</f>
        <v>#N/A</v>
      </c>
      <c r="L36" s="701"/>
      <c r="M36" s="47"/>
      <c r="N36" s="702"/>
      <c r="O36" s="702"/>
      <c r="P36" s="702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2" t="s">
        <v>115</v>
      </c>
      <c r="AP36" s="51"/>
    </row>
    <row r="37" spans="4:42" s="53" customFormat="1" hidden="1" x14ac:dyDescent="0.2">
      <c r="D37" s="700"/>
      <c r="E37" s="55"/>
      <c r="F37" s="55" t="s">
        <v>136</v>
      </c>
      <c r="G37" s="55"/>
      <c r="H37" s="700"/>
      <c r="I37" s="708"/>
      <c r="J37" s="55"/>
      <c r="K37" s="693" t="e">
        <f>VLOOKUP(B37,'KEGIATAN GURU'!$B$12:$T$90,19)</f>
        <v>#N/A</v>
      </c>
      <c r="L37" s="701"/>
      <c r="M37" s="47"/>
      <c r="N37" s="702"/>
      <c r="O37" s="702"/>
      <c r="P37" s="702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2" t="s">
        <v>138</v>
      </c>
      <c r="AP37" s="51"/>
    </row>
    <row r="38" spans="4:42" s="53" customFormat="1" hidden="1" x14ac:dyDescent="0.2">
      <c r="D38" s="700"/>
      <c r="E38" s="55"/>
      <c r="F38" s="55"/>
      <c r="G38" s="55"/>
      <c r="H38" s="700"/>
      <c r="I38" s="708"/>
      <c r="J38" s="55"/>
      <c r="K38" s="693" t="e">
        <f>VLOOKUP(B38,'KEGIATAN GURU'!$B$12:$T$90,19)</f>
        <v>#N/A</v>
      </c>
      <c r="L38" s="701"/>
      <c r="M38" s="47"/>
      <c r="N38" s="702"/>
      <c r="O38" s="702"/>
      <c r="P38" s="702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43" t="s">
        <v>139</v>
      </c>
      <c r="AP38" s="51"/>
    </row>
    <row r="39" spans="4:42" s="53" customFormat="1" ht="20.25" hidden="1" customHeight="1" x14ac:dyDescent="0.2">
      <c r="D39" s="700"/>
      <c r="E39" s="55"/>
      <c r="F39" s="55"/>
      <c r="G39" s="55"/>
      <c r="H39" s="700"/>
      <c r="I39" s="708"/>
      <c r="J39" s="55"/>
      <c r="K39" s="693" t="e">
        <f>VLOOKUP(B39,'KEGIATAN GURU'!$B$12:$T$90,19)</f>
        <v>#N/A</v>
      </c>
      <c r="L39" s="701"/>
      <c r="M39" s="47"/>
      <c r="N39" s="702"/>
      <c r="O39" s="702"/>
      <c r="P39" s="702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37" t="s">
        <v>140</v>
      </c>
      <c r="AP39" s="51"/>
    </row>
    <row r="40" spans="4:42" s="53" customFormat="1" ht="15" hidden="1" customHeight="1" x14ac:dyDescent="0.2">
      <c r="D40" s="700"/>
      <c r="E40" s="55"/>
      <c r="F40" s="55" t="str">
        <f>H8</f>
        <v>Drs. Busyroni Majid, M.Si</v>
      </c>
      <c r="G40" s="55"/>
      <c r="H40" s="700"/>
      <c r="I40" s="709"/>
      <c r="J40" s="56"/>
      <c r="K40" s="693" t="e">
        <f>VLOOKUP(B40,'KEGIATAN GURU'!$B$12:$T$90,19)</f>
        <v>#N/A</v>
      </c>
      <c r="L40" s="701"/>
      <c r="M40" s="47"/>
      <c r="N40" s="702"/>
      <c r="O40" s="702"/>
      <c r="P40" s="702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37" t="s">
        <v>141</v>
      </c>
      <c r="AP40" s="51"/>
    </row>
    <row r="41" spans="4:42" s="53" customFormat="1" ht="10.5" hidden="1" customHeight="1" x14ac:dyDescent="0.2">
      <c r="D41" s="700"/>
      <c r="E41" s="55"/>
      <c r="F41" s="55" t="str">
        <f>"NIP. "&amp;H9</f>
        <v>NIP. 19690921 199503 1 001</v>
      </c>
      <c r="G41" s="55"/>
      <c r="H41" s="700"/>
      <c r="I41" s="700"/>
      <c r="J41" s="55"/>
      <c r="K41" s="693" t="e">
        <f>VLOOKUP(B41,'KEGIATAN GURU'!$B$12:$T$90,19)</f>
        <v>#N/A</v>
      </c>
      <c r="L41" s="701"/>
      <c r="M41" s="47"/>
      <c r="N41" s="702"/>
      <c r="O41" s="702"/>
      <c r="P41" s="702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37" t="s">
        <v>142</v>
      </c>
      <c r="AP41" s="51"/>
    </row>
    <row r="42" spans="4:42" s="9" customFormat="1" x14ac:dyDescent="0.2">
      <c r="D42" s="7"/>
      <c r="E42" s="7"/>
      <c r="F42" s="7"/>
      <c r="G42" s="7"/>
      <c r="H42" s="7"/>
      <c r="I42" s="7"/>
      <c r="J42" s="7"/>
      <c r="K42" s="7"/>
      <c r="L42" s="7"/>
      <c r="M42" s="7"/>
      <c r="N42" s="710"/>
      <c r="O42" s="710"/>
      <c r="P42" s="710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37" t="s">
        <v>143</v>
      </c>
      <c r="AP42" s="59"/>
    </row>
    <row r="43" spans="4:42" x14ac:dyDescent="0.2"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1" t="s">
        <v>144</v>
      </c>
      <c r="AP43" s="60"/>
    </row>
    <row r="44" spans="4:42" x14ac:dyDescent="0.2"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1" t="s">
        <v>145</v>
      </c>
      <c r="AP44" s="60"/>
    </row>
    <row r="45" spans="4:42" x14ac:dyDescent="0.2"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1" t="s">
        <v>146</v>
      </c>
      <c r="AP45" s="60"/>
    </row>
    <row r="46" spans="4:42" x14ac:dyDescent="0.2"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1" t="s">
        <v>147</v>
      </c>
      <c r="AP46" s="60"/>
    </row>
    <row r="47" spans="4:42" x14ac:dyDescent="0.2"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1" t="s">
        <v>148</v>
      </c>
      <c r="AP47" s="60"/>
    </row>
    <row r="48" spans="4:42" x14ac:dyDescent="0.2"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1" t="s">
        <v>149</v>
      </c>
      <c r="AP48" s="60"/>
    </row>
    <row r="49" spans="14:42" x14ac:dyDescent="0.2"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2" t="s">
        <v>150</v>
      </c>
      <c r="AP49" s="60"/>
    </row>
    <row r="50" spans="14:42" x14ac:dyDescent="0.2"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2" t="s">
        <v>117</v>
      </c>
      <c r="AP50" s="60"/>
    </row>
    <row r="51" spans="14:42" x14ac:dyDescent="0.2"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2" t="s">
        <v>120</v>
      </c>
      <c r="AP51" s="60"/>
    </row>
    <row r="52" spans="14:42" x14ac:dyDescent="0.2"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2" t="s">
        <v>151</v>
      </c>
      <c r="AP52" s="60"/>
    </row>
    <row r="53" spans="14:42" x14ac:dyDescent="0.2"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2" t="s">
        <v>152</v>
      </c>
      <c r="AP53" s="60"/>
    </row>
    <row r="54" spans="14:42" x14ac:dyDescent="0.2"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2" t="s">
        <v>153</v>
      </c>
      <c r="AP54" s="60"/>
    </row>
    <row r="55" spans="14:42" x14ac:dyDescent="0.2"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2" t="s">
        <v>154</v>
      </c>
      <c r="AP55" s="60"/>
    </row>
    <row r="56" spans="14:42" x14ac:dyDescent="0.2"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2" t="s">
        <v>155</v>
      </c>
      <c r="AP56" s="60"/>
    </row>
    <row r="57" spans="14:42" x14ac:dyDescent="0.2"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2" t="s">
        <v>156</v>
      </c>
      <c r="AP57" s="60"/>
    </row>
    <row r="58" spans="14:42" x14ac:dyDescent="0.2"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2" t="s">
        <v>157</v>
      </c>
      <c r="AP58" s="60"/>
    </row>
    <row r="59" spans="14:42" x14ac:dyDescent="0.2"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2" t="s">
        <v>158</v>
      </c>
      <c r="AP59" s="60"/>
    </row>
    <row r="60" spans="14:42" x14ac:dyDescent="0.2"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2" t="s">
        <v>159</v>
      </c>
      <c r="AP60" s="60"/>
    </row>
    <row r="61" spans="14:42" x14ac:dyDescent="0.2"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2" t="s">
        <v>160</v>
      </c>
      <c r="AP61" s="60"/>
    </row>
    <row r="62" spans="14:42" x14ac:dyDescent="0.2"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2" t="s">
        <v>161</v>
      </c>
      <c r="AP62" s="60"/>
    </row>
    <row r="63" spans="14:42" x14ac:dyDescent="0.2"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2" t="s">
        <v>162</v>
      </c>
      <c r="AP63" s="60"/>
    </row>
    <row r="64" spans="14:42" x14ac:dyDescent="0.2"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2" t="s">
        <v>163</v>
      </c>
      <c r="AP64" s="60"/>
    </row>
    <row r="65" spans="14:42" x14ac:dyDescent="0.2"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2" t="s">
        <v>164</v>
      </c>
      <c r="AP65" s="60"/>
    </row>
    <row r="66" spans="14:42" x14ac:dyDescent="0.2"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2" t="s">
        <v>165</v>
      </c>
      <c r="AP66" s="60"/>
    </row>
    <row r="67" spans="14:42" x14ac:dyDescent="0.2"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2" t="s">
        <v>166</v>
      </c>
      <c r="AP67" s="60"/>
    </row>
    <row r="68" spans="14:42" x14ac:dyDescent="0.2"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2" t="s">
        <v>167</v>
      </c>
      <c r="AP68" s="60"/>
    </row>
    <row r="69" spans="14:42" x14ac:dyDescent="0.2"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2" t="s">
        <v>168</v>
      </c>
      <c r="AP69" s="60"/>
    </row>
    <row r="70" spans="14:42" x14ac:dyDescent="0.2"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2" t="s">
        <v>122</v>
      </c>
      <c r="AP70" s="60"/>
    </row>
    <row r="71" spans="14:42" x14ac:dyDescent="0.2"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2" t="s">
        <v>169</v>
      </c>
      <c r="AP71" s="60"/>
    </row>
    <row r="72" spans="14:42" x14ac:dyDescent="0.2"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2" t="s">
        <v>170</v>
      </c>
      <c r="AP72" s="60"/>
    </row>
    <row r="73" spans="14:42" x14ac:dyDescent="0.2"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2" t="s">
        <v>171</v>
      </c>
      <c r="AP73" s="60"/>
    </row>
    <row r="74" spans="14:42" x14ac:dyDescent="0.2"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2" t="s">
        <v>172</v>
      </c>
      <c r="AP74" s="60"/>
    </row>
    <row r="75" spans="14:42" x14ac:dyDescent="0.2"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2" t="s">
        <v>173</v>
      </c>
      <c r="AP75" s="60"/>
    </row>
    <row r="76" spans="14:42" x14ac:dyDescent="0.2"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2" t="s">
        <v>174</v>
      </c>
      <c r="AP76" s="60"/>
    </row>
    <row r="77" spans="14:42" x14ac:dyDescent="0.2"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2" t="s">
        <v>175</v>
      </c>
      <c r="AP77" s="60"/>
    </row>
    <row r="78" spans="14:42" x14ac:dyDescent="0.2"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2" t="s">
        <v>176</v>
      </c>
      <c r="AP78" s="60"/>
    </row>
    <row r="79" spans="14:42" x14ac:dyDescent="0.2"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2" t="s">
        <v>177</v>
      </c>
      <c r="AP79" s="60"/>
    </row>
    <row r="80" spans="14:42" x14ac:dyDescent="0.2"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2" t="s">
        <v>178</v>
      </c>
      <c r="AP80" s="60"/>
    </row>
    <row r="81" spans="14:42" x14ac:dyDescent="0.2"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2" t="s">
        <v>179</v>
      </c>
      <c r="AP81" s="60"/>
    </row>
    <row r="82" spans="14:42" x14ac:dyDescent="0.2"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2" t="s">
        <v>124</v>
      </c>
      <c r="AP82" s="60"/>
    </row>
    <row r="83" spans="14:42" x14ac:dyDescent="0.2"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2" t="s">
        <v>180</v>
      </c>
      <c r="AP83" s="60"/>
    </row>
    <row r="84" spans="14:42" x14ac:dyDescent="0.2"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2" t="s">
        <v>181</v>
      </c>
      <c r="AP84" s="60"/>
    </row>
    <row r="85" spans="14:42" x14ac:dyDescent="0.2"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2" t="s">
        <v>182</v>
      </c>
      <c r="AP85" s="60"/>
    </row>
    <row r="86" spans="14:42" x14ac:dyDescent="0.2"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2" t="s">
        <v>183</v>
      </c>
      <c r="AP86" s="60"/>
    </row>
    <row r="87" spans="14:42" x14ac:dyDescent="0.2"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2" t="s">
        <v>184</v>
      </c>
      <c r="AP87" s="60"/>
    </row>
    <row r="88" spans="14:42" x14ac:dyDescent="0.2"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2" t="s">
        <v>185</v>
      </c>
      <c r="AP88" s="60"/>
    </row>
    <row r="89" spans="14:42" x14ac:dyDescent="0.2"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2" t="s">
        <v>186</v>
      </c>
      <c r="AP89" s="60"/>
    </row>
    <row r="90" spans="14:42" x14ac:dyDescent="0.2"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3" t="s">
        <v>126</v>
      </c>
      <c r="AP90" s="60"/>
    </row>
    <row r="91" spans="14:42" x14ac:dyDescent="0.2"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3" t="s">
        <v>187</v>
      </c>
      <c r="AP91" s="60"/>
    </row>
    <row r="92" spans="14:42" x14ac:dyDescent="0.2"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3" t="s">
        <v>188</v>
      </c>
      <c r="AP92" s="60"/>
    </row>
    <row r="93" spans="14:42" x14ac:dyDescent="0.2"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3" t="s">
        <v>189</v>
      </c>
      <c r="AP93" s="60"/>
    </row>
    <row r="94" spans="14:42" x14ac:dyDescent="0.2"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3" t="s">
        <v>128</v>
      </c>
      <c r="AP94" s="60"/>
    </row>
    <row r="95" spans="14:42" x14ac:dyDescent="0.2">
      <c r="AO95" s="63" t="s">
        <v>190</v>
      </c>
    </row>
    <row r="96" spans="14:42" x14ac:dyDescent="0.2">
      <c r="AO96" s="63" t="s">
        <v>191</v>
      </c>
    </row>
    <row r="97" spans="41:41" x14ac:dyDescent="0.2">
      <c r="AO97" s="63" t="s">
        <v>192</v>
      </c>
    </row>
    <row r="98" spans="41:41" x14ac:dyDescent="0.2">
      <c r="AO98" s="63" t="s">
        <v>193</v>
      </c>
    </row>
    <row r="99" spans="41:41" ht="12.75" customHeight="1" x14ac:dyDescent="0.2">
      <c r="AO99" s="63" t="s">
        <v>194</v>
      </c>
    </row>
    <row r="100" spans="41:41" ht="12.75" customHeight="1" x14ac:dyDescent="0.2">
      <c r="AO100" s="63" t="s">
        <v>195</v>
      </c>
    </row>
    <row r="101" spans="41:41" ht="12.75" customHeight="1" x14ac:dyDescent="0.2">
      <c r="AO101" s="63" t="s">
        <v>196</v>
      </c>
    </row>
    <row r="102" spans="41:41" ht="12.75" customHeight="1" x14ac:dyDescent="0.2">
      <c r="AO102" s="63" t="s">
        <v>197</v>
      </c>
    </row>
  </sheetData>
  <sheetProtection formatCells="0" formatColumns="0" formatRows="0" insertColumns="0" insertRows="0" deleteRows="0"/>
  <dataConsolidate/>
  <mergeCells count="11">
    <mergeCell ref="H15:K15"/>
    <mergeCell ref="F33:J33"/>
    <mergeCell ref="F34:J34"/>
    <mergeCell ref="F31:J31"/>
    <mergeCell ref="I7:K7"/>
    <mergeCell ref="E7:H7"/>
    <mergeCell ref="E2:K2"/>
    <mergeCell ref="E3:K3"/>
    <mergeCell ref="G14:H14"/>
    <mergeCell ref="I13:J13"/>
    <mergeCell ref="I14:J14"/>
  </mergeCells>
  <phoneticPr fontId="3" type="noConversion"/>
  <dataValidations count="1">
    <dataValidation type="list" allowBlank="1" showInputMessage="1" showErrorMessage="1" sqref="B16:B30" xr:uid="{00000000-0002-0000-1100-000000000000}">
      <formula1>$AO$16:$AO$102</formula1>
    </dataValidation>
  </dataValidations>
  <printOptions horizontalCentered="1"/>
  <pageMargins left="0.59" right="0.31496062992126" top="0.70866141732283505" bottom="0.39370078740157499" header="0.31496062992126" footer="0.31496062992126"/>
  <pageSetup paperSize="9" scale="90" orientation="landscape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AC52"/>
  <sheetViews>
    <sheetView topLeftCell="A9" zoomScale="80" zoomScaleNormal="80" workbookViewId="0">
      <selection activeCell="A36" sqref="A36:XFD41"/>
    </sheetView>
  </sheetViews>
  <sheetFormatPr defaultColWidth="0" defaultRowHeight="15" customHeight="1" x14ac:dyDescent="0.2"/>
  <cols>
    <col min="1" max="1" width="5.28515625" style="725" customWidth="1"/>
    <col min="2" max="2" width="23.5703125" style="485" customWidth="1"/>
    <col min="3" max="3" width="2.42578125" style="485" customWidth="1"/>
    <col min="4" max="7" width="10.42578125" style="485" customWidth="1"/>
    <col min="8" max="8" width="5.28515625" style="485" customWidth="1"/>
    <col min="9" max="9" width="14.28515625" style="485" customWidth="1"/>
    <col min="10" max="10" width="12.140625" style="485" customWidth="1"/>
    <col min="11" max="11" width="9.85546875" style="485" customWidth="1"/>
    <col min="12" max="12" width="2.42578125" style="485" customWidth="1"/>
    <col min="13" max="14" width="4.140625" style="485" customWidth="1"/>
    <col min="15" max="15" width="2.42578125" style="485" customWidth="1"/>
    <col min="16" max="16" width="5.85546875" style="485" customWidth="1"/>
    <col min="17" max="17" width="14.42578125" style="485" customWidth="1"/>
    <col min="18" max="18" width="20.140625" style="485" customWidth="1"/>
    <col min="19" max="20" width="5.85546875" style="485" customWidth="1"/>
    <col min="21" max="24" width="8.7109375" style="484" customWidth="1"/>
    <col min="25" max="29" width="8.7109375" style="484" hidden="1" customWidth="1"/>
    <col min="30" max="16384" width="14.42578125" style="484" hidden="1"/>
  </cols>
  <sheetData>
    <row r="1" spans="1:20" ht="15" customHeight="1" x14ac:dyDescent="0.2">
      <c r="A1" s="1301" t="s">
        <v>559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  <c r="O1" s="1301"/>
      <c r="P1" s="1301"/>
      <c r="Q1" s="1301"/>
      <c r="R1" s="1301"/>
      <c r="S1" s="1301"/>
      <c r="T1" s="1301"/>
    </row>
    <row r="2" spans="1:20" ht="15" customHeight="1" x14ac:dyDescent="0.2">
      <c r="A2" s="1301" t="str">
        <f>"JABATAN "&amp;UPPER('DATA SKP2'!G9)</f>
        <v>JABATAN GURU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</row>
    <row r="3" spans="1:20" ht="15" customHeight="1" x14ac:dyDescent="0.2">
      <c r="B3" s="725"/>
    </row>
    <row r="4" spans="1:20" ht="15" customHeight="1" x14ac:dyDescent="0.2">
      <c r="B4" s="725"/>
      <c r="M4" s="485" t="s">
        <v>419</v>
      </c>
    </row>
    <row r="5" spans="1:20" ht="15" customHeight="1" x14ac:dyDescent="0.2">
      <c r="A5" s="485" t="s">
        <v>420</v>
      </c>
      <c r="C5" s="485" t="s">
        <v>16</v>
      </c>
      <c r="D5" s="1104" t="str">
        <f>'DATA SKP2'!F3</f>
        <v>MTs Negeri 5 Sleman</v>
      </c>
      <c r="E5" s="1104"/>
      <c r="F5" s="1104"/>
      <c r="G5" s="1104"/>
      <c r="H5" s="1104"/>
      <c r="I5" s="1104"/>
      <c r="M5" s="485" t="str">
        <f>'DATA SKP2'!F4</f>
        <v>01 Juli s.d. 31 Desember 2021</v>
      </c>
    </row>
    <row r="6" spans="1:20" ht="15" customHeight="1" x14ac:dyDescent="0.2">
      <c r="D6" s="486"/>
      <c r="E6" s="486"/>
      <c r="F6" s="486"/>
      <c r="G6" s="486"/>
      <c r="H6" s="486"/>
      <c r="I6" s="486"/>
      <c r="M6" s="487"/>
    </row>
    <row r="7" spans="1:20" ht="15" customHeight="1" x14ac:dyDescent="0.2">
      <c r="A7" s="1105" t="s">
        <v>85</v>
      </c>
      <c r="B7" s="1106"/>
      <c r="C7" s="1106"/>
      <c r="D7" s="1106"/>
      <c r="E7" s="1106"/>
      <c r="F7" s="1106"/>
      <c r="G7" s="1106"/>
      <c r="H7" s="1106"/>
      <c r="I7" s="1107"/>
      <c r="J7" s="1105" t="s">
        <v>86</v>
      </c>
      <c r="K7" s="1106"/>
      <c r="L7" s="1106"/>
      <c r="M7" s="1106"/>
      <c r="N7" s="1106"/>
      <c r="O7" s="1106"/>
      <c r="P7" s="1106"/>
      <c r="Q7" s="1106"/>
      <c r="R7" s="1106"/>
      <c r="S7" s="1106"/>
      <c r="T7" s="1107"/>
    </row>
    <row r="8" spans="1:20" ht="15" customHeight="1" x14ac:dyDescent="0.2">
      <c r="A8" s="1170" t="s">
        <v>2</v>
      </c>
      <c r="B8" s="1171"/>
      <c r="C8" s="490" t="s">
        <v>16</v>
      </c>
      <c r="D8" s="491" t="str">
        <f>'DATA SKP2'!F6</f>
        <v>Sirajudin, S.Pd</v>
      </c>
      <c r="E8" s="492"/>
      <c r="F8" s="492"/>
      <c r="G8" s="492"/>
      <c r="H8" s="492"/>
      <c r="I8" s="493"/>
      <c r="J8" s="494" t="s">
        <v>2</v>
      </c>
      <c r="K8" s="489"/>
      <c r="L8" s="490" t="s">
        <v>16</v>
      </c>
      <c r="M8" s="713" t="str">
        <f>'DATA SKP2'!F12</f>
        <v>Drs. Busyroni Majid, M.Si</v>
      </c>
      <c r="N8" s="495"/>
      <c r="O8" s="495"/>
      <c r="P8" s="495"/>
      <c r="Q8" s="495"/>
      <c r="R8" s="495"/>
      <c r="S8" s="495"/>
      <c r="T8" s="496"/>
    </row>
    <row r="9" spans="1:20" ht="15" customHeight="1" x14ac:dyDescent="0.2">
      <c r="A9" s="1170" t="s">
        <v>3</v>
      </c>
      <c r="B9" s="1171"/>
      <c r="C9" s="490" t="s">
        <v>16</v>
      </c>
      <c r="D9" s="491" t="str">
        <f>'DATA SKP2'!F7</f>
        <v>19730115 200710 1 001</v>
      </c>
      <c r="E9" s="492"/>
      <c r="F9" s="492"/>
      <c r="G9" s="492"/>
      <c r="H9" s="492"/>
      <c r="I9" s="493"/>
      <c r="J9" s="494" t="s">
        <v>3</v>
      </c>
      <c r="K9" s="489"/>
      <c r="L9" s="490" t="s">
        <v>16</v>
      </c>
      <c r="M9" s="713" t="str">
        <f>'DATA SKP2'!F13</f>
        <v>19690921 199503 1 001</v>
      </c>
      <c r="N9" s="495"/>
      <c r="O9" s="495"/>
      <c r="P9" s="495"/>
      <c r="Q9" s="495"/>
      <c r="R9" s="495"/>
      <c r="S9" s="495"/>
      <c r="T9" s="496"/>
    </row>
    <row r="10" spans="1:20" ht="15" customHeight="1" x14ac:dyDescent="0.2">
      <c r="A10" s="1170" t="s">
        <v>106</v>
      </c>
      <c r="B10" s="1171"/>
      <c r="C10" s="490" t="s">
        <v>16</v>
      </c>
      <c r="D10" s="491" t="str">
        <f>'DATA SKP2'!F8</f>
        <v>Penata Muda, Gol. III/a</v>
      </c>
      <c r="E10" s="492"/>
      <c r="F10" s="492"/>
      <c r="G10" s="492"/>
      <c r="H10" s="492"/>
      <c r="I10" s="493"/>
      <c r="J10" s="494" t="s">
        <v>106</v>
      </c>
      <c r="K10" s="489"/>
      <c r="L10" s="490" t="s">
        <v>16</v>
      </c>
      <c r="M10" s="713" t="str">
        <f>'DATA SKP2'!F14</f>
        <v>Pembina, Gol. IV/a</v>
      </c>
      <c r="N10" s="495"/>
      <c r="O10" s="495"/>
      <c r="P10" s="495"/>
      <c r="Q10" s="495"/>
      <c r="R10" s="495"/>
      <c r="S10" s="495"/>
      <c r="T10" s="496"/>
    </row>
    <row r="11" spans="1:20" ht="15" customHeight="1" x14ac:dyDescent="0.2">
      <c r="A11" s="1170" t="s">
        <v>4</v>
      </c>
      <c r="B11" s="1171"/>
      <c r="C11" s="490" t="s">
        <v>16</v>
      </c>
      <c r="D11" s="491" t="str">
        <f>'DATA SKP2'!F9</f>
        <v>Guru Pertama</v>
      </c>
      <c r="E11" s="492"/>
      <c r="F11" s="492"/>
      <c r="G11" s="492"/>
      <c r="H11" s="492"/>
      <c r="I11" s="493"/>
      <c r="J11" s="494" t="s">
        <v>4</v>
      </c>
      <c r="K11" s="489"/>
      <c r="L11" s="490" t="s">
        <v>16</v>
      </c>
      <c r="M11" s="713" t="str">
        <f>'DATA SKP2'!G15</f>
        <v>Kepala Madrasah</v>
      </c>
      <c r="N11" s="495"/>
      <c r="O11" s="495"/>
      <c r="P11" s="495"/>
      <c r="Q11" s="495"/>
      <c r="R11" s="495"/>
      <c r="S11" s="495"/>
      <c r="T11" s="496"/>
    </row>
    <row r="12" spans="1:20" ht="15" customHeight="1" x14ac:dyDescent="0.2">
      <c r="A12" s="1302" t="s">
        <v>5</v>
      </c>
      <c r="B12" s="1303"/>
      <c r="C12" s="714" t="s">
        <v>16</v>
      </c>
      <c r="D12" s="491" t="str">
        <f>'DATA SKP2'!F10</f>
        <v>MTs Negeri 5 Sleman</v>
      </c>
      <c r="E12" s="715"/>
      <c r="F12" s="716"/>
      <c r="G12" s="716"/>
      <c r="H12" s="716"/>
      <c r="I12" s="714"/>
      <c r="J12" s="717" t="s">
        <v>5</v>
      </c>
      <c r="K12" s="716"/>
      <c r="L12" s="714" t="s">
        <v>16</v>
      </c>
      <c r="M12" s="713" t="str">
        <f>'DATA SKP2'!F16</f>
        <v>MTs Negeri 5 Sleman</v>
      </c>
      <c r="N12" s="718"/>
      <c r="O12" s="718"/>
      <c r="P12" s="718"/>
      <c r="Q12" s="718"/>
      <c r="R12" s="718"/>
      <c r="S12" s="718"/>
      <c r="T12" s="719"/>
    </row>
    <row r="13" spans="1:20" s="500" customFormat="1" ht="35.1" customHeight="1" x14ac:dyDescent="0.2">
      <c r="A13" s="729" t="s">
        <v>1</v>
      </c>
      <c r="B13" s="1245" t="s">
        <v>350</v>
      </c>
      <c r="C13" s="1245"/>
      <c r="D13" s="1245"/>
      <c r="E13" s="1300" t="s">
        <v>351</v>
      </c>
      <c r="F13" s="1300"/>
      <c r="G13" s="1300"/>
      <c r="H13" s="1300"/>
      <c r="I13" s="734" t="s">
        <v>352</v>
      </c>
      <c r="J13" s="1306" t="s">
        <v>353</v>
      </c>
      <c r="K13" s="1306"/>
      <c r="L13" s="1306"/>
      <c r="M13" s="1306"/>
      <c r="N13" s="1216" t="s">
        <v>7</v>
      </c>
      <c r="O13" s="1216"/>
      <c r="P13" s="1216"/>
      <c r="Q13" s="1216"/>
      <c r="R13" s="1245" t="s">
        <v>560</v>
      </c>
      <c r="S13" s="1245"/>
      <c r="T13" s="1245"/>
    </row>
    <row r="14" spans="1:20" x14ac:dyDescent="0.2">
      <c r="A14" s="730" t="s">
        <v>354</v>
      </c>
      <c r="B14" s="1298" t="s">
        <v>355</v>
      </c>
      <c r="C14" s="1299"/>
      <c r="D14" s="1299"/>
      <c r="E14" s="1298" t="s">
        <v>356</v>
      </c>
      <c r="F14" s="1298"/>
      <c r="G14" s="1298"/>
      <c r="H14" s="1298"/>
      <c r="I14" s="720" t="s">
        <v>357</v>
      </c>
      <c r="J14" s="1298" t="s">
        <v>358</v>
      </c>
      <c r="K14" s="1298"/>
      <c r="L14" s="1298"/>
      <c r="M14" s="1298"/>
      <c r="N14" s="1298" t="s">
        <v>561</v>
      </c>
      <c r="O14" s="1298"/>
      <c r="P14" s="1298"/>
      <c r="Q14" s="1298"/>
      <c r="R14" s="1298" t="s">
        <v>376</v>
      </c>
      <c r="S14" s="1298"/>
      <c r="T14" s="1298"/>
    </row>
    <row r="15" spans="1:20" x14ac:dyDescent="0.2">
      <c r="A15" s="1304" t="s">
        <v>360</v>
      </c>
      <c r="B15" s="1208"/>
      <c r="C15" s="1208"/>
      <c r="D15" s="1208"/>
      <c r="E15" s="1208"/>
      <c r="F15" s="1208"/>
      <c r="G15" s="1208"/>
      <c r="H15" s="1208"/>
      <c r="I15" s="1208"/>
      <c r="J15" s="1208"/>
      <c r="K15" s="1208"/>
      <c r="L15" s="1208"/>
      <c r="M15" s="1208"/>
      <c r="N15" s="1208"/>
      <c r="O15" s="1208"/>
      <c r="P15" s="1208"/>
      <c r="Q15" s="1208"/>
      <c r="R15" s="1208"/>
      <c r="S15" s="1208"/>
      <c r="T15" s="1305"/>
    </row>
    <row r="16" spans="1:20" ht="60" customHeight="1" x14ac:dyDescent="0.2">
      <c r="A16" s="502">
        <f>IF('[6]RENCANA SKP'!A16:A18="","",'[6]RENCANA SKP'!A16:A18)</f>
        <v>1</v>
      </c>
      <c r="B16" s="1111" t="str">
        <f>IF('RENCANA SKP'!F16="","",'RENCANA SKP'!F16)</f>
        <v>Meningkatnya kualitas penerapan kurikulum dan pola pembelajaran inovatif</v>
      </c>
      <c r="C16" s="1111"/>
      <c r="D16" s="1111"/>
      <c r="E16" s="1111" t="str">
        <f>IF('RENCANA SKP'!I16="","",'RENCANA SKP'!I16)</f>
        <v>Terlaksananya penerapan metode pembelajaran inovatif dalam kurikulum mapel Penjaskes pada kelas VII A-B-C-D, VIII C-D</v>
      </c>
      <c r="F16" s="1111"/>
      <c r="G16" s="1111"/>
      <c r="H16" s="1111"/>
      <c r="I16" s="731" t="str">
        <f>'RENCANA SKP'!L16</f>
        <v>Kuantitas</v>
      </c>
      <c r="J16" s="1295" t="str">
        <f>'RENCANA SKP'!M16</f>
        <v>Jumlah dokumen laporan pembelajaran</v>
      </c>
      <c r="K16" s="1295"/>
      <c r="L16" s="1295"/>
      <c r="M16" s="1295"/>
      <c r="N16" s="721" t="str">
        <f>IF('RENCANA SKP'!Q16="","",'RENCANA SKP'!Q16)</f>
        <v/>
      </c>
      <c r="O16" s="722" t="str">
        <f>IF('RENCANA SKP'!R16="","",'RENCANA SKP'!R16)</f>
        <v/>
      </c>
      <c r="P16" s="722">
        <f>IF('RENCANA SKP'!S16="","",'RENCANA SKP'!S16)</f>
        <v>1</v>
      </c>
      <c r="Q16" s="836" t="str">
        <f>IF('RENCANA SKP'!T16="","",'RENCANA SKP'!T16)</f>
        <v>dokumen</v>
      </c>
      <c r="R16" s="1296" t="s">
        <v>562</v>
      </c>
      <c r="S16" s="1296"/>
      <c r="T16" s="1297"/>
    </row>
    <row r="17" spans="1:20" ht="60" customHeight="1" x14ac:dyDescent="0.2">
      <c r="A17" s="952" t="str">
        <f>IF('[6]RENCANA SKP'!A17:A19="","",'[6]RENCANA SKP'!A17:A19)</f>
        <v/>
      </c>
      <c r="B17" s="1111" t="str">
        <f>IF('RENCANA SKP'!F17="","",'RENCANA SKP'!F17)</f>
        <v/>
      </c>
      <c r="C17" s="1111"/>
      <c r="D17" s="1111"/>
      <c r="E17" s="1111" t="str">
        <f>IF('RENCANA SKP'!I17="","",'RENCANA SKP'!I17)</f>
        <v/>
      </c>
      <c r="F17" s="1111"/>
      <c r="G17" s="1111"/>
      <c r="H17" s="1111"/>
      <c r="I17" s="740" t="str">
        <f>'RENCANA SKP'!L17</f>
        <v xml:space="preserve">Kualitas </v>
      </c>
      <c r="J17" s="1295" t="str">
        <f>'RENCANA SKP'!M17</f>
        <v>Tingkat penerapan pembelajaran inovatif</v>
      </c>
      <c r="K17" s="1295"/>
      <c r="L17" s="1295"/>
      <c r="M17" s="1295"/>
      <c r="N17" s="721">
        <f>IF('RENCANA SKP'!Q17="","",'RENCANA SKP'!Q17)</f>
        <v>80</v>
      </c>
      <c r="O17" s="722" t="str">
        <f>IF('RENCANA SKP'!R17="","",'RENCANA SKP'!R17)</f>
        <v>-</v>
      </c>
      <c r="P17" s="722">
        <f>IF('RENCANA SKP'!S17="","",'RENCANA SKP'!S17)</f>
        <v>90</v>
      </c>
      <c r="Q17" s="836" t="str">
        <f>IF('RENCANA SKP'!T17="","",'RENCANA SKP'!T17)</f>
        <v>persen</v>
      </c>
      <c r="R17" s="1296" t="s">
        <v>562</v>
      </c>
      <c r="S17" s="1296"/>
      <c r="T17" s="1297"/>
    </row>
    <row r="18" spans="1:20" ht="60" customHeight="1" x14ac:dyDescent="0.2">
      <c r="A18" s="952" t="str">
        <f>IF('[6]RENCANA SKP'!A18:A20="","",'[6]RENCANA SKP'!A18:A20)</f>
        <v/>
      </c>
      <c r="B18" s="1111" t="str">
        <f>IF('RENCANA SKP'!F18="","",'RENCANA SKP'!F18)</f>
        <v/>
      </c>
      <c r="C18" s="1111"/>
      <c r="D18" s="1111"/>
      <c r="E18" s="1111" t="str">
        <f>IF('RENCANA SKP'!I18="","",'RENCANA SKP'!I18)</f>
        <v/>
      </c>
      <c r="F18" s="1111"/>
      <c r="G18" s="1111"/>
      <c r="H18" s="1111"/>
      <c r="I18" s="740" t="str">
        <f>'RENCANA SKP'!L18</f>
        <v xml:space="preserve">Waktu </v>
      </c>
      <c r="J18" s="1295" t="str">
        <f>'RENCANA SKP'!M18</f>
        <v>Waktu pelaksanaan pembelajaran</v>
      </c>
      <c r="K18" s="1295"/>
      <c r="L18" s="1295"/>
      <c r="M18" s="1295"/>
      <c r="N18" s="721" t="str">
        <f>IF('RENCANA SKP'!Q18="","",'RENCANA SKP'!Q18)</f>
        <v/>
      </c>
      <c r="O18" s="722" t="str">
        <f>IF('RENCANA SKP'!R18="","",'RENCANA SKP'!R18)</f>
        <v/>
      </c>
      <c r="P18" s="722">
        <f>IF('RENCANA SKP'!S18="","",'RENCANA SKP'!S18)</f>
        <v>6</v>
      </c>
      <c r="Q18" s="836" t="str">
        <f>IF('RENCANA SKP'!T18="","",'RENCANA SKP'!T18)</f>
        <v>bulan</v>
      </c>
      <c r="R18" s="1296" t="s">
        <v>562</v>
      </c>
      <c r="S18" s="1296"/>
      <c r="T18" s="1297"/>
    </row>
    <row r="19" spans="1:20" ht="60" customHeight="1" x14ac:dyDescent="0.2">
      <c r="A19" s="502">
        <f>IF('[6]RENCANA SKP'!A19:A21="","",'[6]RENCANA SKP'!A19:A21)</f>
        <v>2</v>
      </c>
      <c r="B19" s="1111" t="str">
        <f>IF('RENCANA SKP'!F19="","",'RENCANA SKP'!F19)</f>
        <v>Meningkatnya kualitas penilaian pendidikan</v>
      </c>
      <c r="C19" s="1111"/>
      <c r="D19" s="1111"/>
      <c r="E19" s="1111" t="str">
        <f>IF('RENCANA SKP'!I19="","",'RENCANA SKP'!I19)</f>
        <v>Terlaksananya pembelajaran mapel Penjaskes pada kelas VII A-B-C-D, VIII C-D yang menggunakan bahan belajar berbasis TIK untuk e-pembelajaran</v>
      </c>
      <c r="F19" s="1111"/>
      <c r="G19" s="1111"/>
      <c r="H19" s="1111"/>
      <c r="I19" s="740" t="str">
        <f>'RENCANA SKP'!L19</f>
        <v>Kuantitas</v>
      </c>
      <c r="J19" s="1295" t="str">
        <f>'RENCANA SKP'!M19</f>
        <v>Jumlah dokumen laporan pembelajaran</v>
      </c>
      <c r="K19" s="1295"/>
      <c r="L19" s="1295"/>
      <c r="M19" s="1295"/>
      <c r="N19" s="721" t="str">
        <f>IF('RENCANA SKP'!Q19="","",'RENCANA SKP'!Q19)</f>
        <v/>
      </c>
      <c r="O19" s="722" t="str">
        <f>IF('RENCANA SKP'!R19="","",'RENCANA SKP'!R19)</f>
        <v/>
      </c>
      <c r="P19" s="722">
        <f>IF('RENCANA SKP'!S19="","",'RENCANA SKP'!S19)</f>
        <v>1</v>
      </c>
      <c r="Q19" s="836" t="str">
        <f>IF('RENCANA SKP'!T19="","",'RENCANA SKP'!T19)</f>
        <v>dokumen</v>
      </c>
      <c r="R19" s="1296" t="s">
        <v>562</v>
      </c>
      <c r="S19" s="1296"/>
      <c r="T19" s="1297"/>
    </row>
    <row r="20" spans="1:20" ht="60" customHeight="1" x14ac:dyDescent="0.2">
      <c r="A20" s="952" t="str">
        <f>IF('[6]RENCANA SKP'!A20:A22="","",'[6]RENCANA SKP'!A20:A22)</f>
        <v/>
      </c>
      <c r="B20" s="1111" t="str">
        <f>IF('RENCANA SKP'!F20="","",'RENCANA SKP'!F20)</f>
        <v/>
      </c>
      <c r="C20" s="1111"/>
      <c r="D20" s="1111"/>
      <c r="E20" s="1111" t="str">
        <f>IF('RENCANA SKP'!I20="","",'RENCANA SKP'!I20)</f>
        <v/>
      </c>
      <c r="F20" s="1111"/>
      <c r="G20" s="1111"/>
      <c r="H20" s="1111"/>
      <c r="I20" s="740" t="str">
        <f>'RENCANA SKP'!L20</f>
        <v xml:space="preserve">Kualitas </v>
      </c>
      <c r="J20" s="1295" t="str">
        <f>'RENCANA SKP'!M20</f>
        <v>Tingkat penerapan pembelajaran berbasis TIK</v>
      </c>
      <c r="K20" s="1295"/>
      <c r="L20" s="1295"/>
      <c r="M20" s="1295"/>
      <c r="N20" s="721">
        <f>IF('RENCANA SKP'!Q20="","",'RENCANA SKP'!Q20)</f>
        <v>80</v>
      </c>
      <c r="O20" s="722" t="str">
        <f>IF('RENCANA SKP'!R20="","",'RENCANA SKP'!R20)</f>
        <v>-</v>
      </c>
      <c r="P20" s="722">
        <f>IF('RENCANA SKP'!S20="","",'RENCANA SKP'!S20)</f>
        <v>90</v>
      </c>
      <c r="Q20" s="836" t="str">
        <f>IF('RENCANA SKP'!T20="","",'RENCANA SKP'!T20)</f>
        <v>persen</v>
      </c>
      <c r="R20" s="1296" t="s">
        <v>562</v>
      </c>
      <c r="S20" s="1296"/>
      <c r="T20" s="1297"/>
    </row>
    <row r="21" spans="1:20" ht="60" customHeight="1" x14ac:dyDescent="0.2">
      <c r="A21" s="952" t="str">
        <f>IF('[6]RENCANA SKP'!A21:A23="","",'[6]RENCANA SKP'!A21:A23)</f>
        <v/>
      </c>
      <c r="B21" s="1111" t="str">
        <f>IF('RENCANA SKP'!F21="","",'RENCANA SKP'!F21)</f>
        <v/>
      </c>
      <c r="C21" s="1111"/>
      <c r="D21" s="1111"/>
      <c r="E21" s="1111" t="str">
        <f>IF('RENCANA SKP'!I21="","",'RENCANA SKP'!I21)</f>
        <v/>
      </c>
      <c r="F21" s="1111"/>
      <c r="G21" s="1111"/>
      <c r="H21" s="1111"/>
      <c r="I21" s="740" t="str">
        <f>'RENCANA SKP'!L21</f>
        <v xml:space="preserve">Waktu </v>
      </c>
      <c r="J21" s="1295" t="str">
        <f>'RENCANA SKP'!M21</f>
        <v>Waktu pelaksanaan pembelajaran</v>
      </c>
      <c r="K21" s="1295"/>
      <c r="L21" s="1295"/>
      <c r="M21" s="1295"/>
      <c r="N21" s="721" t="str">
        <f>IF('RENCANA SKP'!Q21="","",'RENCANA SKP'!Q21)</f>
        <v/>
      </c>
      <c r="O21" s="722" t="str">
        <f>IF('RENCANA SKP'!R21="","",'RENCANA SKP'!R21)</f>
        <v/>
      </c>
      <c r="P21" s="722">
        <f>IF('RENCANA SKP'!S21="","",'RENCANA SKP'!S21)</f>
        <v>6</v>
      </c>
      <c r="Q21" s="836" t="str">
        <f>IF('RENCANA SKP'!T21="","",'RENCANA SKP'!T21)</f>
        <v>bulan</v>
      </c>
      <c r="R21" s="1296" t="s">
        <v>562</v>
      </c>
      <c r="S21" s="1296"/>
      <c r="T21" s="1297"/>
    </row>
    <row r="22" spans="1:20" ht="60" customHeight="1" x14ac:dyDescent="0.2">
      <c r="A22" s="502">
        <f>IF('[6]RENCANA SKP'!A22:A24="","",'[6]RENCANA SKP'!A22:A24)</f>
        <v>3</v>
      </c>
      <c r="B22" s="1111" t="str">
        <f>IF('RENCANA SKP'!F22="","",'RENCANA SKP'!F22)</f>
        <v xml:space="preserve">Meningkatnya penerapan teknologi informasi dan komunikasi dalam sistem pembelajaran </v>
      </c>
      <c r="C22" s="1111"/>
      <c r="D22" s="1111"/>
      <c r="E22" s="1111" t="str">
        <f>IF('RENCANA SKP'!I22="","",'RENCANA SKP'!I22)</f>
        <v>Tersedianya bahan ajar mapel Penjaskes  pada kelas VII  A-B-C-D, VIII C-D  yang mengintegrasikan pendidikan karakter sesuai kurikulum madrasah</v>
      </c>
      <c r="F22" s="1111"/>
      <c r="G22" s="1111"/>
      <c r="H22" s="1111"/>
      <c r="I22" s="740" t="str">
        <f>'RENCANA SKP'!L22</f>
        <v>Kuantitas</v>
      </c>
      <c r="J22" s="1295" t="str">
        <f>'RENCANA SKP'!M22</f>
        <v>Jumlah dokumen laporan pembelajaran</v>
      </c>
      <c r="K22" s="1295"/>
      <c r="L22" s="1295"/>
      <c r="M22" s="1295"/>
      <c r="N22" s="721" t="str">
        <f>IF('RENCANA SKP'!Q22="","",'RENCANA SKP'!Q22)</f>
        <v/>
      </c>
      <c r="O22" s="722" t="str">
        <f>IF('RENCANA SKP'!R22="","",'RENCANA SKP'!R22)</f>
        <v/>
      </c>
      <c r="P22" s="722">
        <f>IF('RENCANA SKP'!S22="","",'RENCANA SKP'!S22)</f>
        <v>1</v>
      </c>
      <c r="Q22" s="836" t="str">
        <f>IF('RENCANA SKP'!T22="","",'RENCANA SKP'!T22)</f>
        <v>dokumen</v>
      </c>
      <c r="R22" s="1296" t="s">
        <v>562</v>
      </c>
      <c r="S22" s="1296"/>
      <c r="T22" s="1297"/>
    </row>
    <row r="23" spans="1:20" ht="60" customHeight="1" x14ac:dyDescent="0.2">
      <c r="A23" s="952" t="str">
        <f>IF('[6]RENCANA SKP'!A23:A25="","",'[6]RENCANA SKP'!A23:A25)</f>
        <v/>
      </c>
      <c r="B23" s="1111" t="str">
        <f>IF('RENCANA SKP'!F23="","",'RENCANA SKP'!F23)</f>
        <v/>
      </c>
      <c r="C23" s="1111"/>
      <c r="D23" s="1111"/>
      <c r="E23" s="1111" t="str">
        <f>IF('RENCANA SKP'!I23="","",'RENCANA SKP'!I23)</f>
        <v/>
      </c>
      <c r="F23" s="1111"/>
      <c r="G23" s="1111"/>
      <c r="H23" s="1111"/>
      <c r="I23" s="740" t="str">
        <f>'RENCANA SKP'!L23</f>
        <v xml:space="preserve">Kualitas </v>
      </c>
      <c r="J23" s="1295" t="str">
        <f>'RENCANA SKP'!M23</f>
        <v>Tingkat penerapan pembelajaran karakter</v>
      </c>
      <c r="K23" s="1295"/>
      <c r="L23" s="1295"/>
      <c r="M23" s="1295"/>
      <c r="N23" s="721">
        <f>IF('RENCANA SKP'!Q23="","",'RENCANA SKP'!Q23)</f>
        <v>80</v>
      </c>
      <c r="O23" s="722" t="str">
        <f>IF('RENCANA SKP'!R23="","",'RENCANA SKP'!R23)</f>
        <v>-</v>
      </c>
      <c r="P23" s="722">
        <f>IF('RENCANA SKP'!S23="","",'RENCANA SKP'!S23)</f>
        <v>90</v>
      </c>
      <c r="Q23" s="836" t="str">
        <f>IF('RENCANA SKP'!T23="","",'RENCANA SKP'!T23)</f>
        <v>persen</v>
      </c>
      <c r="R23" s="1296" t="s">
        <v>562</v>
      </c>
      <c r="S23" s="1296"/>
      <c r="T23" s="1297"/>
    </row>
    <row r="24" spans="1:20" ht="60" customHeight="1" x14ac:dyDescent="0.2">
      <c r="A24" s="952" t="str">
        <f>IF('[6]RENCANA SKP'!A24:A26="","",'[6]RENCANA SKP'!A24:A26)</f>
        <v/>
      </c>
      <c r="B24" s="1111" t="str">
        <f>IF('RENCANA SKP'!F24="","",'RENCANA SKP'!F24)</f>
        <v/>
      </c>
      <c r="C24" s="1111"/>
      <c r="D24" s="1111"/>
      <c r="E24" s="1111" t="str">
        <f>IF('RENCANA SKP'!I24="","",'RENCANA SKP'!I24)</f>
        <v/>
      </c>
      <c r="F24" s="1111"/>
      <c r="G24" s="1111"/>
      <c r="H24" s="1111"/>
      <c r="I24" s="740" t="str">
        <f>'RENCANA SKP'!L24</f>
        <v xml:space="preserve">Waktu </v>
      </c>
      <c r="J24" s="1295" t="str">
        <f>'RENCANA SKP'!M24</f>
        <v>Waktu pelaksanaan pembelajaran</v>
      </c>
      <c r="K24" s="1295"/>
      <c r="L24" s="1295"/>
      <c r="M24" s="1295"/>
      <c r="N24" s="721" t="str">
        <f>IF('RENCANA SKP'!Q24="","",'RENCANA SKP'!Q24)</f>
        <v/>
      </c>
      <c r="O24" s="722" t="str">
        <f>IF('RENCANA SKP'!R24="","",'RENCANA SKP'!R24)</f>
        <v/>
      </c>
      <c r="P24" s="722">
        <f>IF('RENCANA SKP'!S24="","",'RENCANA SKP'!S24)</f>
        <v>6</v>
      </c>
      <c r="Q24" s="836" t="str">
        <f>IF('RENCANA SKP'!T24="","",'RENCANA SKP'!T24)</f>
        <v>bulan</v>
      </c>
      <c r="R24" s="1296" t="s">
        <v>562</v>
      </c>
      <c r="S24" s="1296"/>
      <c r="T24" s="1297"/>
    </row>
    <row r="25" spans="1:20" ht="60" hidden="1" customHeight="1" x14ac:dyDescent="0.2">
      <c r="A25" s="502">
        <f>IF('[6]RENCANA SKP'!A25:A27="","",'[6]RENCANA SKP'!A25:A27)</f>
        <v>4</v>
      </c>
      <c r="B25" s="1111" t="str">
        <f>IF('RENCANA SKP'!F25="","",'RENCANA SKP'!F25)</f>
        <v>-</v>
      </c>
      <c r="C25" s="1111"/>
      <c r="D25" s="1111"/>
      <c r="E25" s="1111" t="str">
        <f>IF('RENCANA SKP'!I25="","",'RENCANA SKP'!I25)</f>
        <v/>
      </c>
      <c r="F25" s="1111"/>
      <c r="G25" s="1111"/>
      <c r="H25" s="1111"/>
      <c r="I25" s="740">
        <f>'RENCANA SKP'!L25</f>
        <v>0</v>
      </c>
      <c r="J25" s="1295">
        <f>'RENCANA SKP'!M25</f>
        <v>0</v>
      </c>
      <c r="K25" s="1295"/>
      <c r="L25" s="1295"/>
      <c r="M25" s="1295"/>
      <c r="N25" s="721" t="str">
        <f>IF('RENCANA SKP'!Q25="","",'RENCANA SKP'!Q25)</f>
        <v/>
      </c>
      <c r="O25" s="722" t="str">
        <f>IF('RENCANA SKP'!R25="","",'RENCANA SKP'!R25)</f>
        <v/>
      </c>
      <c r="P25" s="722" t="str">
        <f>IF('RENCANA SKP'!S25="","",'RENCANA SKP'!S25)</f>
        <v/>
      </c>
      <c r="Q25" s="836" t="str">
        <f>IF('RENCANA SKP'!T25="","",'RENCANA SKP'!T25)</f>
        <v/>
      </c>
      <c r="R25" s="1296" t="s">
        <v>562</v>
      </c>
      <c r="S25" s="1296"/>
      <c r="T25" s="1297"/>
    </row>
    <row r="26" spans="1:20" ht="60" hidden="1" customHeight="1" x14ac:dyDescent="0.2">
      <c r="A26" s="952" t="str">
        <f>IF('[6]RENCANA SKP'!A26:A28="","",'[6]RENCANA SKP'!A26:A28)</f>
        <v/>
      </c>
      <c r="B26" s="1111" t="str">
        <f>IF('RENCANA SKP'!F26="","",'RENCANA SKP'!F26)</f>
        <v/>
      </c>
      <c r="C26" s="1111"/>
      <c r="D26" s="1111"/>
      <c r="E26" s="1111" t="str">
        <f>IF('RENCANA SKP'!I26="","",'RENCANA SKP'!I26)</f>
        <v/>
      </c>
      <c r="F26" s="1111"/>
      <c r="G26" s="1111"/>
      <c r="H26" s="1111"/>
      <c r="I26" s="740">
        <f>'RENCANA SKP'!L26</f>
        <v>0</v>
      </c>
      <c r="J26" s="1295">
        <f>'RENCANA SKP'!M26</f>
        <v>0</v>
      </c>
      <c r="K26" s="1295"/>
      <c r="L26" s="1295"/>
      <c r="M26" s="1295"/>
      <c r="N26" s="721" t="str">
        <f>IF('RENCANA SKP'!Q26="","",'RENCANA SKP'!Q26)</f>
        <v/>
      </c>
      <c r="O26" s="722" t="str">
        <f>IF('RENCANA SKP'!R26="","",'RENCANA SKP'!R26)</f>
        <v/>
      </c>
      <c r="P26" s="722" t="str">
        <f>IF('RENCANA SKP'!S26="","",'RENCANA SKP'!S26)</f>
        <v/>
      </c>
      <c r="Q26" s="836" t="str">
        <f>IF('RENCANA SKP'!T26="","",'RENCANA SKP'!T26)</f>
        <v/>
      </c>
      <c r="R26" s="1296" t="s">
        <v>562</v>
      </c>
      <c r="S26" s="1296"/>
      <c r="T26" s="1297"/>
    </row>
    <row r="27" spans="1:20" ht="60" hidden="1" customHeight="1" x14ac:dyDescent="0.2">
      <c r="A27" s="952" t="str">
        <f>IF('[6]RENCANA SKP'!A27:A29="","",'[6]RENCANA SKP'!A27:A29)</f>
        <v/>
      </c>
      <c r="B27" s="1111" t="str">
        <f>IF('RENCANA SKP'!F27="","",'RENCANA SKP'!F27)</f>
        <v/>
      </c>
      <c r="C27" s="1111"/>
      <c r="D27" s="1111"/>
      <c r="E27" s="1111" t="str">
        <f>IF('RENCANA SKP'!I27="","",'RENCANA SKP'!I27)</f>
        <v/>
      </c>
      <c r="F27" s="1111"/>
      <c r="G27" s="1111"/>
      <c r="H27" s="1111"/>
      <c r="I27" s="740">
        <f>'RENCANA SKP'!L27</f>
        <v>0</v>
      </c>
      <c r="J27" s="1295">
        <f>'RENCANA SKP'!M27</f>
        <v>0</v>
      </c>
      <c r="K27" s="1295"/>
      <c r="L27" s="1295"/>
      <c r="M27" s="1295"/>
      <c r="N27" s="721" t="str">
        <f>IF('RENCANA SKP'!Q27="","",'RENCANA SKP'!Q27)</f>
        <v/>
      </c>
      <c r="O27" s="722" t="str">
        <f>IF('RENCANA SKP'!R27="","",'RENCANA SKP'!R27)</f>
        <v/>
      </c>
      <c r="P27" s="722" t="str">
        <f>IF('RENCANA SKP'!S27="","",'RENCANA SKP'!S27)</f>
        <v/>
      </c>
      <c r="Q27" s="836" t="str">
        <f>IF('RENCANA SKP'!T27="","",'RENCANA SKP'!T27)</f>
        <v/>
      </c>
      <c r="R27" s="1296" t="s">
        <v>562</v>
      </c>
      <c r="S27" s="1296"/>
      <c r="T27" s="1297"/>
    </row>
    <row r="28" spans="1:20" ht="60" hidden="1" customHeight="1" x14ac:dyDescent="0.2">
      <c r="A28" s="502">
        <f>IF('[6]RENCANA SKP'!A28:A30="","",'[6]RENCANA SKP'!A28:A30)</f>
        <v>5</v>
      </c>
      <c r="B28" s="1111" t="str">
        <f>IF('RENCANA SKP'!F28="","",'RENCANA SKP'!F28)</f>
        <v/>
      </c>
      <c r="C28" s="1111"/>
      <c r="D28" s="1111"/>
      <c r="E28" s="1111" t="str">
        <f>IF('RENCANA SKP'!I28="","",'RENCANA SKP'!I28)</f>
        <v/>
      </c>
      <c r="F28" s="1111"/>
      <c r="G28" s="1111"/>
      <c r="H28" s="1111"/>
      <c r="I28" s="740">
        <f>'RENCANA SKP'!L28</f>
        <v>0</v>
      </c>
      <c r="J28" s="1295">
        <f>'RENCANA SKP'!M28</f>
        <v>0</v>
      </c>
      <c r="K28" s="1295"/>
      <c r="L28" s="1295"/>
      <c r="M28" s="1295"/>
      <c r="N28" s="721" t="str">
        <f>IF('RENCANA SKP'!Q28="","",'RENCANA SKP'!Q28)</f>
        <v/>
      </c>
      <c r="O28" s="722" t="str">
        <f>IF('RENCANA SKP'!R28="","",'RENCANA SKP'!R28)</f>
        <v/>
      </c>
      <c r="P28" s="722" t="str">
        <f>IF('RENCANA SKP'!S28="","",'RENCANA SKP'!S28)</f>
        <v/>
      </c>
      <c r="Q28" s="836" t="str">
        <f>IF('RENCANA SKP'!T28="","",'RENCANA SKP'!T28)</f>
        <v/>
      </c>
      <c r="R28" s="1296" t="s">
        <v>562</v>
      </c>
      <c r="S28" s="1296"/>
      <c r="T28" s="1297"/>
    </row>
    <row r="29" spans="1:20" ht="60" hidden="1" customHeight="1" x14ac:dyDescent="0.2">
      <c r="A29" s="502" t="e">
        <f>IF('[6]RENCANA SKP'!A29:A30="","",'[6]RENCANA SKP'!A29:A30)</f>
        <v>#REF!</v>
      </c>
      <c r="B29" s="1111" t="str">
        <f>IF('RENCANA SKP'!F29="","",'RENCANA SKP'!F29)</f>
        <v/>
      </c>
      <c r="C29" s="1111"/>
      <c r="D29" s="1111"/>
      <c r="E29" s="1111" t="str">
        <f>IF('RENCANA SKP'!I29="","",'RENCANA SKP'!I29)</f>
        <v/>
      </c>
      <c r="F29" s="1111"/>
      <c r="G29" s="1111"/>
      <c r="H29" s="1111"/>
      <c r="I29" s="740">
        <f>'RENCANA SKP'!L29</f>
        <v>0</v>
      </c>
      <c r="J29" s="1295">
        <f>'RENCANA SKP'!M29</f>
        <v>0</v>
      </c>
      <c r="K29" s="1295"/>
      <c r="L29" s="1295"/>
      <c r="M29" s="1295"/>
      <c r="N29" s="721" t="str">
        <f>IF('RENCANA SKP'!Q29="","",'RENCANA SKP'!Q29)</f>
        <v/>
      </c>
      <c r="O29" s="722" t="str">
        <f>IF('RENCANA SKP'!R29="","",'RENCANA SKP'!R29)</f>
        <v/>
      </c>
      <c r="P29" s="722" t="str">
        <f>IF('RENCANA SKP'!S29="","",'RENCANA SKP'!S29)</f>
        <v/>
      </c>
      <c r="Q29" s="836" t="str">
        <f>IF('RENCANA SKP'!T29="","",'RENCANA SKP'!T29)</f>
        <v/>
      </c>
      <c r="R29" s="1296" t="s">
        <v>562</v>
      </c>
      <c r="S29" s="1296"/>
      <c r="T29" s="1297"/>
    </row>
    <row r="30" spans="1:20" ht="60" hidden="1" customHeight="1" x14ac:dyDescent="0.2">
      <c r="A30" s="502" t="e">
        <f>IF('[6]RENCANA SKP'!A30:A30="","",'[6]RENCANA SKP'!A30:A30)</f>
        <v>#REF!</v>
      </c>
      <c r="B30" s="1111" t="str">
        <f>IF('RENCANA SKP'!F30="","",'RENCANA SKP'!F30)</f>
        <v/>
      </c>
      <c r="C30" s="1111"/>
      <c r="D30" s="1111"/>
      <c r="E30" s="1111" t="str">
        <f>IF('RENCANA SKP'!I30="","",'RENCANA SKP'!I30)</f>
        <v/>
      </c>
      <c r="F30" s="1111"/>
      <c r="G30" s="1111"/>
      <c r="H30" s="1111"/>
      <c r="I30" s="740">
        <f>'RENCANA SKP'!L30</f>
        <v>0</v>
      </c>
      <c r="J30" s="1295">
        <f>'RENCANA SKP'!M30</f>
        <v>0</v>
      </c>
      <c r="K30" s="1295"/>
      <c r="L30" s="1295"/>
      <c r="M30" s="1295"/>
      <c r="N30" s="721" t="str">
        <f>IF('RENCANA SKP'!Q30="","",'RENCANA SKP'!Q30)</f>
        <v/>
      </c>
      <c r="O30" s="722" t="str">
        <f>IF('RENCANA SKP'!R30="","",'RENCANA SKP'!R30)</f>
        <v/>
      </c>
      <c r="P30" s="722" t="str">
        <f>IF('RENCANA SKP'!S30="","",'RENCANA SKP'!S30)</f>
        <v/>
      </c>
      <c r="Q30" s="836" t="str">
        <f>IF('RENCANA SKP'!T30="","",'RENCANA SKP'!T30)</f>
        <v/>
      </c>
      <c r="R30" s="1296" t="s">
        <v>562</v>
      </c>
      <c r="S30" s="1296"/>
      <c r="T30" s="1297"/>
    </row>
    <row r="31" spans="1:20" ht="21" customHeight="1" x14ac:dyDescent="0.2">
      <c r="A31" s="503"/>
      <c r="B31" s="504"/>
      <c r="C31" s="505"/>
      <c r="D31" s="505"/>
      <c r="E31" s="505"/>
      <c r="F31" s="504"/>
      <c r="G31" s="505"/>
      <c r="H31" s="505"/>
      <c r="I31" s="505"/>
      <c r="J31" s="505"/>
      <c r="K31" s="505"/>
      <c r="L31" s="506"/>
      <c r="M31" s="507"/>
      <c r="N31" s="507"/>
      <c r="O31" s="507"/>
      <c r="P31" s="507"/>
      <c r="Q31" s="507"/>
      <c r="R31" s="507"/>
      <c r="S31" s="507"/>
      <c r="T31" s="508"/>
    </row>
    <row r="32" spans="1:20" ht="15.75" customHeight="1" x14ac:dyDescent="0.2">
      <c r="A32" s="1108" t="s">
        <v>366</v>
      </c>
      <c r="B32" s="1109"/>
      <c r="C32" s="1109"/>
      <c r="D32" s="1109"/>
      <c r="E32" s="1109"/>
      <c r="F32" s="1109"/>
      <c r="G32" s="1109"/>
      <c r="H32" s="1109"/>
      <c r="I32" s="1109"/>
      <c r="J32" s="1109"/>
      <c r="K32" s="1109"/>
      <c r="L32" s="1109"/>
      <c r="M32" s="1109"/>
      <c r="N32" s="1109"/>
      <c r="O32" s="1109"/>
      <c r="P32" s="1109"/>
      <c r="Q32" s="1109"/>
      <c r="R32" s="1109"/>
      <c r="S32" s="1109"/>
      <c r="T32" s="1110"/>
    </row>
    <row r="33" spans="1:20" ht="35.25" customHeight="1" x14ac:dyDescent="0.2">
      <c r="A33" s="1194">
        <f>IF('[6]RENCANA SKP'!A33:A36="","",'[6]RENCANA SKP'!A33:A36)</f>
        <v>1</v>
      </c>
      <c r="B33" s="1111" t="str">
        <f>IF('RENCANA SKP'!F33="","",'RENCANA SKP'!F33)</f>
        <v>-</v>
      </c>
      <c r="C33" s="1111"/>
      <c r="D33" s="1111"/>
      <c r="E33" s="1111" t="str">
        <f>IF('RENCANA SKP'!I33="","",'RENCANA SKP'!I33)</f>
        <v>Diklat peningkatan kompetensi guru yang telah selesai diikuti</v>
      </c>
      <c r="F33" s="1111"/>
      <c r="G33" s="1111"/>
      <c r="H33" s="1111"/>
      <c r="I33" s="731" t="str">
        <f>'RENCANA SKP'!L33</f>
        <v>Kuantitas</v>
      </c>
      <c r="J33" s="1295" t="str">
        <f>'RENCANA SKP'!M33</f>
        <v>Jumlah kegiatan yang diikuti</v>
      </c>
      <c r="K33" s="1295"/>
      <c r="L33" s="1295"/>
      <c r="M33" s="1295"/>
      <c r="N33" s="721" t="str">
        <f>IF('RENCANA SKP'!Q33="","",'RENCANA SKP'!Q33)</f>
        <v/>
      </c>
      <c r="O33" s="722" t="str">
        <f>IF('RENCANA SKP'!R33="","",'RENCANA SKP'!R33)</f>
        <v/>
      </c>
      <c r="P33" s="722">
        <f>IF('RENCANA SKP'!S33="","",'RENCANA SKP'!S33)</f>
        <v>1</v>
      </c>
      <c r="Q33" s="836" t="str">
        <f>IF('RENCANA SKP'!T33="","",'RENCANA SKP'!T33)</f>
        <v>kegiatan</v>
      </c>
      <c r="R33" s="1296" t="s">
        <v>606</v>
      </c>
      <c r="S33" s="1296"/>
      <c r="T33" s="1297"/>
    </row>
    <row r="34" spans="1:20" ht="36.75" customHeight="1" x14ac:dyDescent="0.2">
      <c r="A34" s="1173"/>
      <c r="B34" s="1111" t="str">
        <f>IF('RENCANA SKP'!F34="","",'RENCANA SKP'!F34:H44)</f>
        <v/>
      </c>
      <c r="C34" s="1111"/>
      <c r="D34" s="1111"/>
      <c r="E34" s="1111" t="str">
        <f>IF('RENCANA SKP'!I34="","",'RENCANA SKP'!I34)</f>
        <v/>
      </c>
      <c r="F34" s="1111"/>
      <c r="G34" s="1111"/>
      <c r="H34" s="1111"/>
      <c r="I34" s="740" t="str">
        <f>'RENCANA SKP'!L34</f>
        <v xml:space="preserve">Kualitas </v>
      </c>
      <c r="J34" s="1295" t="str">
        <f>'RENCANA SKP'!M34</f>
        <v>Tingkat pemahaman materi Diklat</v>
      </c>
      <c r="K34" s="1295"/>
      <c r="L34" s="1295"/>
      <c r="M34" s="1295"/>
      <c r="N34" s="721">
        <f>IF('RENCANA SKP'!Q34="","",'RENCANA SKP'!Q34)</f>
        <v>80</v>
      </c>
      <c r="O34" s="722" t="str">
        <f>IF('RENCANA SKP'!R34="","",'RENCANA SKP'!R34)</f>
        <v>-</v>
      </c>
      <c r="P34" s="722">
        <f>IF('RENCANA SKP'!S34="","",'RENCANA SKP'!S34)</f>
        <v>90</v>
      </c>
      <c r="Q34" s="836" t="str">
        <f>IF('RENCANA SKP'!T34="","",'RENCANA SKP'!T34)</f>
        <v>persen</v>
      </c>
      <c r="R34" s="1296" t="s">
        <v>606</v>
      </c>
      <c r="S34" s="1296"/>
      <c r="T34" s="1297"/>
    </row>
    <row r="35" spans="1:20" ht="36.75" customHeight="1" x14ac:dyDescent="0.2">
      <c r="A35" s="1174"/>
      <c r="B35" s="1111" t="str">
        <f>IF('RENCANA SKP'!F35="","",'RENCANA SKP'!F35)</f>
        <v/>
      </c>
      <c r="C35" s="1111"/>
      <c r="D35" s="1111"/>
      <c r="E35" s="1111" t="str">
        <f>IF('RENCANA SKP'!I35="","",'RENCANA SKP'!I35)</f>
        <v/>
      </c>
      <c r="F35" s="1111"/>
      <c r="G35" s="1111"/>
      <c r="H35" s="1111"/>
      <c r="I35" s="924" t="str">
        <f>'RENCANA SKP'!L35</f>
        <v xml:space="preserve">Waktu </v>
      </c>
      <c r="J35" s="1295" t="str">
        <f>'RENCANA SKP'!M35</f>
        <v>Jangka waktu mengikuti Diklat</v>
      </c>
      <c r="K35" s="1295"/>
      <c r="L35" s="1295"/>
      <c r="M35" s="1295"/>
      <c r="N35" s="721" t="str">
        <f>IF('RENCANA SKP'!Q35="","",'RENCANA SKP'!Q35)</f>
        <v/>
      </c>
      <c r="O35" s="722" t="str">
        <f>IF('RENCANA SKP'!R35="","",'RENCANA SKP'!R35)</f>
        <v/>
      </c>
      <c r="P35" s="722">
        <f>IF('RENCANA SKP'!S35="","",'RENCANA SKP'!S35)</f>
        <v>36</v>
      </c>
      <c r="Q35" s="836" t="str">
        <f>IF('RENCANA SKP'!T35="","",'RENCANA SKP'!T35)</f>
        <v>JPL</v>
      </c>
      <c r="R35" s="1296" t="s">
        <v>606</v>
      </c>
      <c r="S35" s="1296"/>
      <c r="T35" s="1297"/>
    </row>
    <row r="36" spans="1:20" ht="36.75" hidden="1" customHeight="1" x14ac:dyDescent="0.2">
      <c r="A36" s="925"/>
      <c r="B36" s="1111" t="str">
        <f>IF('RENCANA SKP'!F36="","",'RENCANA SKP'!F36)</f>
        <v/>
      </c>
      <c r="C36" s="1111"/>
      <c r="D36" s="1111"/>
      <c r="E36" s="1111" t="str">
        <f>IF('RENCANA SKP'!I36="","",'RENCANA SKP'!I36)</f>
        <v/>
      </c>
      <c r="F36" s="1111"/>
      <c r="G36" s="1111"/>
      <c r="H36" s="1111"/>
      <c r="I36" s="924">
        <f>'RENCANA SKP'!L36</f>
        <v>0</v>
      </c>
      <c r="J36" s="1295">
        <f>'RENCANA SKP'!M36</f>
        <v>0</v>
      </c>
      <c r="K36" s="1295"/>
      <c r="L36" s="1295"/>
      <c r="M36" s="1295"/>
      <c r="N36" s="721" t="str">
        <f>IF('RENCANA SKP'!Q36="","",'RENCANA SKP'!Q36)</f>
        <v/>
      </c>
      <c r="O36" s="722" t="str">
        <f>IF('RENCANA SKP'!R36="","",'RENCANA SKP'!R36)</f>
        <v/>
      </c>
      <c r="P36" s="722" t="str">
        <f>IF('RENCANA SKP'!S36="","",'RENCANA SKP'!S36)</f>
        <v/>
      </c>
      <c r="Q36" s="836" t="str">
        <f>IF('RENCANA SKP'!T36="","",'RENCANA SKP'!T36)</f>
        <v/>
      </c>
      <c r="R36" s="1296" t="s">
        <v>606</v>
      </c>
      <c r="S36" s="1296"/>
      <c r="T36" s="1297"/>
    </row>
    <row r="37" spans="1:20" ht="36.75" hidden="1" customHeight="1" x14ac:dyDescent="0.2">
      <c r="A37" s="925"/>
      <c r="B37" s="1111" t="str">
        <f>IF('RENCANA SKP'!F37="","",'RENCANA SKP'!F37)</f>
        <v/>
      </c>
      <c r="C37" s="1111"/>
      <c r="D37" s="1111"/>
      <c r="E37" s="1111" t="str">
        <f>IF('RENCANA SKP'!I37="","",'RENCANA SKP'!I37)</f>
        <v/>
      </c>
      <c r="F37" s="1111"/>
      <c r="G37" s="1111"/>
      <c r="H37" s="1111"/>
      <c r="I37" s="924">
        <f>'RENCANA SKP'!L37</f>
        <v>0</v>
      </c>
      <c r="J37" s="1295">
        <f>'RENCANA SKP'!M37</f>
        <v>0</v>
      </c>
      <c r="K37" s="1295"/>
      <c r="L37" s="1295"/>
      <c r="M37" s="1295"/>
      <c r="N37" s="721" t="str">
        <f>IF('RENCANA SKP'!Q37="","",'RENCANA SKP'!Q37)</f>
        <v/>
      </c>
      <c r="O37" s="722" t="str">
        <f>IF('RENCANA SKP'!R37="","",'RENCANA SKP'!R37)</f>
        <v/>
      </c>
      <c r="P37" s="722" t="str">
        <f>IF('RENCANA SKP'!S37="","",'RENCANA SKP'!S37)</f>
        <v/>
      </c>
      <c r="Q37" s="836" t="str">
        <f>IF('RENCANA SKP'!T37="","",'RENCANA SKP'!T37)</f>
        <v/>
      </c>
      <c r="R37" s="1296" t="s">
        <v>606</v>
      </c>
      <c r="S37" s="1296"/>
      <c r="T37" s="1297"/>
    </row>
    <row r="38" spans="1:20" ht="36.75" hidden="1" customHeight="1" x14ac:dyDescent="0.2">
      <c r="A38" s="925"/>
      <c r="B38" s="1111" t="str">
        <f>IF('RENCANA SKP'!F38="","",'RENCANA SKP'!F38)</f>
        <v/>
      </c>
      <c r="C38" s="1111"/>
      <c r="D38" s="1111"/>
      <c r="E38" s="1111" t="str">
        <f>IF('RENCANA SKP'!I38="","",'RENCANA SKP'!I38)</f>
        <v/>
      </c>
      <c r="F38" s="1111"/>
      <c r="G38" s="1111"/>
      <c r="H38" s="1111"/>
      <c r="I38" s="924">
        <f>'RENCANA SKP'!L38</f>
        <v>0</v>
      </c>
      <c r="J38" s="1295">
        <f>'RENCANA SKP'!M38</f>
        <v>0</v>
      </c>
      <c r="K38" s="1295"/>
      <c r="L38" s="1295"/>
      <c r="M38" s="1295"/>
      <c r="N38" s="721" t="str">
        <f>IF('RENCANA SKP'!Q38="","",'RENCANA SKP'!Q38)</f>
        <v/>
      </c>
      <c r="O38" s="722" t="str">
        <f>IF('RENCANA SKP'!R38="","",'RENCANA SKP'!R38)</f>
        <v/>
      </c>
      <c r="P38" s="722" t="str">
        <f>IF('RENCANA SKP'!S38="","",'RENCANA SKP'!S38)</f>
        <v/>
      </c>
      <c r="Q38" s="836" t="str">
        <f>IF('RENCANA SKP'!T38="","",'RENCANA SKP'!T38)</f>
        <v/>
      </c>
      <c r="R38" s="1296" t="s">
        <v>606</v>
      </c>
      <c r="S38" s="1296"/>
      <c r="T38" s="1297"/>
    </row>
    <row r="39" spans="1:20" ht="38.25" hidden="1" customHeight="1" x14ac:dyDescent="0.2">
      <c r="A39" s="925">
        <v>2</v>
      </c>
      <c r="B39" s="1111" t="str">
        <f>IF('RENCANA SKP'!F39="","",'RENCANA SKP'!F39:H46)</f>
        <v/>
      </c>
      <c r="C39" s="1111"/>
      <c r="D39" s="1111"/>
      <c r="E39" s="1111" t="str">
        <f>IF('RENCANA SKP'!I39="","",'RENCANA SKP'!I39)</f>
        <v/>
      </c>
      <c r="F39" s="1111"/>
      <c r="G39" s="1111"/>
      <c r="H39" s="1111"/>
      <c r="I39" s="924">
        <f>'RENCANA SKP'!L39</f>
        <v>0</v>
      </c>
      <c r="J39" s="1295">
        <f>'RENCANA SKP'!M39</f>
        <v>0</v>
      </c>
      <c r="K39" s="1295"/>
      <c r="L39" s="1295"/>
      <c r="M39" s="1295"/>
      <c r="N39" s="721" t="str">
        <f>IF('RENCANA SKP'!Q39="","",'RENCANA SKP'!Q39)</f>
        <v/>
      </c>
      <c r="O39" s="722" t="str">
        <f>IF('RENCANA SKP'!R39="","",'RENCANA SKP'!R39)</f>
        <v/>
      </c>
      <c r="P39" s="722" t="str">
        <f>IF('RENCANA SKP'!S39="","",'RENCANA SKP'!S39)</f>
        <v/>
      </c>
      <c r="Q39" s="836" t="str">
        <f>IF('RENCANA SKP'!T39="","",'RENCANA SKP'!T39)</f>
        <v/>
      </c>
      <c r="R39" s="1296" t="s">
        <v>606</v>
      </c>
      <c r="S39" s="1296"/>
      <c r="T39" s="1297"/>
    </row>
    <row r="40" spans="1:20" ht="38.25" hidden="1" customHeight="1" x14ac:dyDescent="0.2">
      <c r="A40" s="952"/>
      <c r="B40" s="1111" t="str">
        <f>IF('RENCANA SKP'!F40="","",'RENCANA SKP'!F40:H47)</f>
        <v/>
      </c>
      <c r="C40" s="1111"/>
      <c r="D40" s="1111"/>
      <c r="E40" s="1111" t="str">
        <f>IF('RENCANA SKP'!I40="","",'RENCANA SKP'!I40)</f>
        <v/>
      </c>
      <c r="F40" s="1111"/>
      <c r="G40" s="1111"/>
      <c r="H40" s="1111"/>
      <c r="I40" s="924">
        <f>'RENCANA SKP'!L40</f>
        <v>0</v>
      </c>
      <c r="J40" s="1295">
        <f>'RENCANA SKP'!M40</f>
        <v>0</v>
      </c>
      <c r="K40" s="1295"/>
      <c r="L40" s="1295"/>
      <c r="M40" s="1295"/>
      <c r="N40" s="721" t="str">
        <f>IF('RENCANA SKP'!Q40="","",'RENCANA SKP'!Q40)</f>
        <v/>
      </c>
      <c r="O40" s="722" t="str">
        <f>IF('RENCANA SKP'!R40="","",'RENCANA SKP'!R40)</f>
        <v/>
      </c>
      <c r="P40" s="722" t="str">
        <f>IF('RENCANA SKP'!S40="","",'RENCANA SKP'!S40)</f>
        <v/>
      </c>
      <c r="Q40" s="836" t="str">
        <f>IF('RENCANA SKP'!T40="","",'RENCANA SKP'!T40)</f>
        <v/>
      </c>
      <c r="R40" s="1296" t="s">
        <v>606</v>
      </c>
      <c r="S40" s="1296"/>
      <c r="T40" s="1297"/>
    </row>
    <row r="41" spans="1:20" ht="38.25" hidden="1" customHeight="1" x14ac:dyDescent="0.2">
      <c r="A41" s="952"/>
      <c r="B41" s="1111" t="str">
        <f>IF('RENCANA SKP'!F35="","",'RENCANA SKP'!F35:H45)</f>
        <v/>
      </c>
      <c r="C41" s="1111"/>
      <c r="D41" s="1111"/>
      <c r="E41" s="1111" t="str">
        <f>IF('RENCANA SKP'!I35="","",'RENCANA SKP'!I35)</f>
        <v/>
      </c>
      <c r="F41" s="1111"/>
      <c r="G41" s="1111"/>
      <c r="H41" s="1111"/>
      <c r="I41" s="951">
        <f>'RENCANA SKP'!L41</f>
        <v>0</v>
      </c>
      <c r="J41" s="1295">
        <f>'RENCANA SKP'!M41</f>
        <v>0</v>
      </c>
      <c r="K41" s="1295"/>
      <c r="L41" s="1295"/>
      <c r="M41" s="1295"/>
      <c r="N41" s="721" t="str">
        <f>IF('RENCANA SKP'!Q41="","",'RENCANA SKP'!Q41)</f>
        <v/>
      </c>
      <c r="O41" s="722" t="str">
        <f>IF('RENCANA SKP'!R41="","",'RENCANA SKP'!R41)</f>
        <v/>
      </c>
      <c r="P41" s="722" t="str">
        <f>IF('RENCANA SKP'!S41="","",'RENCANA SKP'!S41)</f>
        <v/>
      </c>
      <c r="Q41" s="836" t="str">
        <f>IF('RENCANA SKP'!T41="","",'RENCANA SKP'!T41)</f>
        <v/>
      </c>
      <c r="R41" s="1296" t="s">
        <v>606</v>
      </c>
      <c r="S41" s="1296"/>
      <c r="T41" s="1297"/>
    </row>
    <row r="42" spans="1:20" ht="15.75" customHeight="1" x14ac:dyDescent="0.2"/>
    <row r="43" spans="1:20" ht="15.75" customHeight="1" x14ac:dyDescent="0.2"/>
    <row r="44" spans="1:20" ht="15.75" customHeight="1" x14ac:dyDescent="0.2">
      <c r="M44" s="485" t="str">
        <f>"Sleman, "&amp;PERIODE!E16</f>
        <v>Sleman, 14 Juli 2021</v>
      </c>
    </row>
    <row r="45" spans="1:20" ht="15.75" customHeight="1" x14ac:dyDescent="0.2">
      <c r="M45" s="485" t="s">
        <v>563</v>
      </c>
    </row>
    <row r="46" spans="1:20" ht="15.75" customHeight="1" x14ac:dyDescent="0.2"/>
    <row r="47" spans="1:20" ht="15.75" customHeight="1" x14ac:dyDescent="0.2"/>
    <row r="48" spans="1:20" ht="15.75" customHeight="1" x14ac:dyDescent="0.2"/>
    <row r="49" spans="13:13" ht="15.75" customHeight="1" x14ac:dyDescent="0.2"/>
    <row r="50" spans="13:13" ht="15.75" customHeight="1" x14ac:dyDescent="0.2">
      <c r="M50" s="485" t="str">
        <f>M8</f>
        <v>Drs. Busyroni Majid, M.Si</v>
      </c>
    </row>
    <row r="51" spans="13:13" ht="15.75" customHeight="1" x14ac:dyDescent="0.2">
      <c r="M51" s="485" t="str">
        <f>"NIP. "&amp;M9</f>
        <v>NIP. 19690921 199503 1 001</v>
      </c>
    </row>
    <row r="52" spans="13:13" ht="15.75" customHeight="1" x14ac:dyDescent="0.2"/>
  </sheetData>
  <sheetProtection formatCells="0" formatColumns="0" formatRows="0" insertColumns="0" insertRows="0" insertHyperlinks="0" deleteColumns="0" deleteRows="0"/>
  <mergeCells count="119">
    <mergeCell ref="A8:B8"/>
    <mergeCell ref="A1:T1"/>
    <mergeCell ref="A2:T2"/>
    <mergeCell ref="D5:I5"/>
    <mergeCell ref="A7:I7"/>
    <mergeCell ref="J7:T7"/>
    <mergeCell ref="B18:D18"/>
    <mergeCell ref="E18:H18"/>
    <mergeCell ref="J18:M18"/>
    <mergeCell ref="R18:T18"/>
    <mergeCell ref="B17:D17"/>
    <mergeCell ref="E17:H17"/>
    <mergeCell ref="J17:M17"/>
    <mergeCell ref="R17:T17"/>
    <mergeCell ref="A9:B9"/>
    <mergeCell ref="A10:B10"/>
    <mergeCell ref="A11:B11"/>
    <mergeCell ref="A12:B12"/>
    <mergeCell ref="B13:D13"/>
    <mergeCell ref="A15:T15"/>
    <mergeCell ref="B16:D16"/>
    <mergeCell ref="E16:H16"/>
    <mergeCell ref="J13:M13"/>
    <mergeCell ref="N13:Q13"/>
    <mergeCell ref="J16:M16"/>
    <mergeCell ref="R16:T16"/>
    <mergeCell ref="R13:T13"/>
    <mergeCell ref="B14:D14"/>
    <mergeCell ref="E14:H14"/>
    <mergeCell ref="J14:M14"/>
    <mergeCell ref="N14:Q14"/>
    <mergeCell ref="R14:T14"/>
    <mergeCell ref="E13:H13"/>
    <mergeCell ref="B21:D21"/>
    <mergeCell ref="E21:H21"/>
    <mergeCell ref="J21:M21"/>
    <mergeCell ref="R21:T21"/>
    <mergeCell ref="B22:D22"/>
    <mergeCell ref="E22:H22"/>
    <mergeCell ref="J22:M22"/>
    <mergeCell ref="R22:T22"/>
    <mergeCell ref="B19:D19"/>
    <mergeCell ref="E19:H19"/>
    <mergeCell ref="J19:M19"/>
    <mergeCell ref="R19:T19"/>
    <mergeCell ref="B20:D20"/>
    <mergeCell ref="E20:H20"/>
    <mergeCell ref="J20:M20"/>
    <mergeCell ref="R20:T20"/>
    <mergeCell ref="B25:D25"/>
    <mergeCell ref="E25:H25"/>
    <mergeCell ref="J25:M25"/>
    <mergeCell ref="R25:T25"/>
    <mergeCell ref="B26:D26"/>
    <mergeCell ref="E26:H26"/>
    <mergeCell ref="J26:M26"/>
    <mergeCell ref="R26:T26"/>
    <mergeCell ref="B23:D23"/>
    <mergeCell ref="E23:H23"/>
    <mergeCell ref="J23:M23"/>
    <mergeCell ref="R23:T23"/>
    <mergeCell ref="B24:D24"/>
    <mergeCell ref="E24:H24"/>
    <mergeCell ref="J24:M24"/>
    <mergeCell ref="R24:T24"/>
    <mergeCell ref="B30:D30"/>
    <mergeCell ref="E30:H30"/>
    <mergeCell ref="J30:M30"/>
    <mergeCell ref="R30:T30"/>
    <mergeCell ref="A32:T32"/>
    <mergeCell ref="B27:D27"/>
    <mergeCell ref="E27:H27"/>
    <mergeCell ref="J27:M27"/>
    <mergeCell ref="R27:T27"/>
    <mergeCell ref="B28:D28"/>
    <mergeCell ref="E28:H28"/>
    <mergeCell ref="J28:M28"/>
    <mergeCell ref="R28:T28"/>
    <mergeCell ref="B29:D29"/>
    <mergeCell ref="E29:H29"/>
    <mergeCell ref="J29:M29"/>
    <mergeCell ref="R29:T29"/>
    <mergeCell ref="B41:D41"/>
    <mergeCell ref="E41:H41"/>
    <mergeCell ref="J41:M41"/>
    <mergeCell ref="R41:T41"/>
    <mergeCell ref="B35:D35"/>
    <mergeCell ref="E35:H35"/>
    <mergeCell ref="J35:M35"/>
    <mergeCell ref="R35:T35"/>
    <mergeCell ref="B39:D39"/>
    <mergeCell ref="E39:H39"/>
    <mergeCell ref="J39:M39"/>
    <mergeCell ref="R39:T39"/>
    <mergeCell ref="B36:D36"/>
    <mergeCell ref="B37:D37"/>
    <mergeCell ref="E37:H37"/>
    <mergeCell ref="B38:D38"/>
    <mergeCell ref="E38:H38"/>
    <mergeCell ref="A33:A35"/>
    <mergeCell ref="B40:D40"/>
    <mergeCell ref="E40:H40"/>
    <mergeCell ref="J40:M40"/>
    <mergeCell ref="R40:T40"/>
    <mergeCell ref="E36:H36"/>
    <mergeCell ref="J36:M36"/>
    <mergeCell ref="J37:M37"/>
    <mergeCell ref="J38:M38"/>
    <mergeCell ref="R36:T36"/>
    <mergeCell ref="R37:T37"/>
    <mergeCell ref="R38:T38"/>
    <mergeCell ref="B34:D34"/>
    <mergeCell ref="E34:H34"/>
    <mergeCell ref="J34:M34"/>
    <mergeCell ref="R34:T34"/>
    <mergeCell ref="B33:D33"/>
    <mergeCell ref="E33:H33"/>
    <mergeCell ref="J33:M33"/>
    <mergeCell ref="R33:T33"/>
  </mergeCells>
  <pageMargins left="0.73" right="0.511811023622047" top="0.74803149606299202" bottom="0.511811023622047" header="0" footer="0"/>
  <pageSetup paperSize="9" scale="7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36"/>
  <sheetViews>
    <sheetView showGridLines="0" showRowColHeaders="0" topLeftCell="A4" zoomScale="80" zoomScaleNormal="80" workbookViewId="0">
      <selection activeCell="W25" sqref="W25"/>
    </sheetView>
  </sheetViews>
  <sheetFormatPr defaultColWidth="0" defaultRowHeight="12.75" zeroHeight="1" x14ac:dyDescent="0.2"/>
  <cols>
    <col min="1" max="1" width="4.42578125" style="278" customWidth="1"/>
    <col min="2" max="2" width="6.140625" style="549" customWidth="1"/>
    <col min="3" max="6" width="9.140625" style="278" customWidth="1"/>
    <col min="7" max="7" width="7.140625" style="278" customWidth="1"/>
    <col min="8" max="8" width="7" style="278" customWidth="1"/>
    <col min="9" max="13" width="9.140625" style="278" customWidth="1"/>
    <col min="14" max="14" width="6.140625" style="278" customWidth="1"/>
    <col min="15" max="22" width="9.140625" style="278" customWidth="1"/>
    <col min="23" max="23" width="7.85546875" style="278" customWidth="1"/>
    <col min="24" max="24" width="3.5703125" style="278" customWidth="1"/>
    <col min="25" max="16384" width="9.140625" style="278" hidden="1"/>
  </cols>
  <sheetData>
    <row r="1" spans="1:24" s="635" customFormat="1" ht="13.5" thickBot="1" x14ac:dyDescent="0.25">
      <c r="A1" s="633"/>
      <c r="B1" s="634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</row>
    <row r="2" spans="1:24" ht="13.5" thickTop="1" x14ac:dyDescent="0.2">
      <c r="A2" s="633"/>
      <c r="B2" s="636"/>
      <c r="C2" s="637"/>
      <c r="D2" s="637"/>
      <c r="E2" s="637"/>
      <c r="F2" s="637"/>
      <c r="G2" s="637"/>
      <c r="H2" s="637"/>
      <c r="I2" s="637"/>
      <c r="J2" s="637"/>
      <c r="K2" s="637"/>
      <c r="L2" s="637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3"/>
    </row>
    <row r="3" spans="1:24" x14ac:dyDescent="0.2">
      <c r="A3" s="633"/>
      <c r="B3" s="639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3"/>
    </row>
    <row r="4" spans="1:24" x14ac:dyDescent="0.2">
      <c r="A4" s="633"/>
      <c r="B4" s="639"/>
      <c r="C4" s="638"/>
      <c r="D4" s="638"/>
      <c r="E4" s="638"/>
      <c r="F4" s="638"/>
      <c r="G4" s="638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  <c r="S4" s="638"/>
      <c r="T4" s="638"/>
      <c r="U4" s="638"/>
      <c r="V4" s="638"/>
      <c r="W4" s="638"/>
      <c r="X4" s="633"/>
    </row>
    <row r="5" spans="1:24" x14ac:dyDescent="0.2">
      <c r="A5" s="633"/>
      <c r="B5" s="639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8"/>
      <c r="T5" s="638"/>
      <c r="U5" s="638"/>
      <c r="V5" s="638"/>
      <c r="W5" s="638"/>
      <c r="X5" s="633"/>
    </row>
    <row r="6" spans="1:24" x14ac:dyDescent="0.2">
      <c r="A6" s="633"/>
      <c r="B6" s="639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  <c r="R6" s="638"/>
      <c r="S6" s="638"/>
      <c r="T6" s="638"/>
      <c r="U6" s="638"/>
      <c r="V6" s="638"/>
      <c r="W6" s="638"/>
      <c r="X6" s="633"/>
    </row>
    <row r="7" spans="1:24" x14ac:dyDescent="0.2">
      <c r="A7" s="633"/>
      <c r="B7" s="639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8"/>
      <c r="T7" s="638"/>
      <c r="U7" s="638"/>
      <c r="V7" s="638"/>
      <c r="W7" s="638"/>
      <c r="X7" s="633"/>
    </row>
    <row r="8" spans="1:24" x14ac:dyDescent="0.2">
      <c r="A8" s="633"/>
      <c r="B8" s="639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638"/>
      <c r="R8" s="638"/>
      <c r="S8" s="638"/>
      <c r="T8" s="638"/>
      <c r="U8" s="638"/>
      <c r="V8" s="638"/>
      <c r="W8" s="638"/>
      <c r="X8" s="633"/>
    </row>
    <row r="9" spans="1:24" x14ac:dyDescent="0.2">
      <c r="A9" s="640"/>
      <c r="B9" s="639"/>
      <c r="C9" s="638"/>
      <c r="D9" s="638"/>
      <c r="E9" s="638"/>
      <c r="F9" s="638"/>
      <c r="G9" s="638"/>
      <c r="H9" s="638"/>
      <c r="I9" s="638"/>
      <c r="J9" s="638"/>
      <c r="K9" s="638"/>
      <c r="L9" s="638"/>
      <c r="M9" s="638"/>
      <c r="N9" s="638"/>
      <c r="O9" s="638"/>
      <c r="P9" s="638"/>
      <c r="Q9" s="638"/>
      <c r="R9" s="638"/>
      <c r="S9" s="638"/>
      <c r="T9" s="638"/>
      <c r="U9" s="638"/>
      <c r="V9" s="638"/>
      <c r="W9" s="638"/>
      <c r="X9" s="640"/>
    </row>
    <row r="10" spans="1:24" x14ac:dyDescent="0.2">
      <c r="A10" s="633"/>
      <c r="B10" s="639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3"/>
    </row>
    <row r="11" spans="1:24" x14ac:dyDescent="0.2">
      <c r="A11" s="641"/>
      <c r="B11" s="639"/>
      <c r="C11" s="638"/>
      <c r="D11" s="638"/>
      <c r="E11" s="638"/>
      <c r="F11" s="638"/>
      <c r="G11" s="638"/>
      <c r="H11" s="638"/>
      <c r="I11" s="638"/>
      <c r="J11" s="638"/>
      <c r="K11" s="638"/>
      <c r="L11" s="638"/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41"/>
    </row>
    <row r="12" spans="1:24" x14ac:dyDescent="0.2">
      <c r="A12" s="633"/>
      <c r="B12" s="639"/>
      <c r="C12" s="638"/>
      <c r="D12" s="638"/>
      <c r="E12" s="638"/>
      <c r="F12" s="638"/>
      <c r="G12" s="638"/>
      <c r="H12" s="638"/>
      <c r="I12" s="638"/>
      <c r="J12" s="638"/>
      <c r="K12" s="638"/>
      <c r="L12" s="638"/>
      <c r="M12" s="638"/>
      <c r="N12" s="638"/>
      <c r="O12" s="638"/>
      <c r="P12" s="638"/>
      <c r="Q12" s="638"/>
      <c r="R12" s="638"/>
      <c r="S12" s="638"/>
      <c r="T12" s="638"/>
      <c r="U12" s="638"/>
      <c r="V12" s="638"/>
      <c r="W12" s="638"/>
      <c r="X12" s="633"/>
    </row>
    <row r="13" spans="1:24" x14ac:dyDescent="0.2">
      <c r="A13" s="640"/>
      <c r="B13" s="639"/>
      <c r="C13" s="638"/>
      <c r="D13" s="638"/>
      <c r="E13" s="638"/>
      <c r="F13" s="638"/>
      <c r="G13" s="638"/>
      <c r="H13" s="638"/>
      <c r="I13" s="638"/>
      <c r="J13" s="638"/>
      <c r="K13" s="638"/>
      <c r="L13" s="638"/>
      <c r="M13" s="638"/>
      <c r="N13" s="638"/>
      <c r="O13" s="638"/>
      <c r="P13" s="638"/>
      <c r="Q13" s="638"/>
      <c r="R13" s="638"/>
      <c r="S13" s="638"/>
      <c r="T13" s="638"/>
      <c r="U13" s="638"/>
      <c r="V13" s="638"/>
      <c r="W13" s="638"/>
      <c r="X13" s="640"/>
    </row>
    <row r="14" spans="1:24" x14ac:dyDescent="0.2">
      <c r="A14" s="633"/>
      <c r="B14" s="639"/>
      <c r="C14" s="638"/>
      <c r="D14" s="638"/>
      <c r="E14" s="638"/>
      <c r="F14" s="638"/>
      <c r="G14" s="638"/>
      <c r="H14" s="638"/>
      <c r="I14" s="638"/>
      <c r="J14" s="638"/>
      <c r="K14" s="638"/>
      <c r="L14" s="638"/>
      <c r="M14" s="638"/>
      <c r="N14" s="638"/>
      <c r="O14" s="638"/>
      <c r="P14" s="638"/>
      <c r="Q14" s="638"/>
      <c r="R14" s="638"/>
      <c r="S14" s="638"/>
      <c r="T14" s="638"/>
      <c r="U14" s="638"/>
      <c r="V14" s="638"/>
      <c r="W14" s="638"/>
      <c r="X14" s="633"/>
    </row>
    <row r="15" spans="1:24" x14ac:dyDescent="0.2">
      <c r="A15" s="641"/>
      <c r="B15" s="639"/>
      <c r="C15" s="638"/>
      <c r="D15" s="638"/>
      <c r="E15" s="638"/>
      <c r="F15" s="638"/>
      <c r="G15" s="638"/>
      <c r="H15" s="638"/>
      <c r="I15" s="638"/>
      <c r="J15" s="638"/>
      <c r="K15" s="638"/>
      <c r="L15" s="638"/>
      <c r="M15" s="638"/>
      <c r="N15" s="638"/>
      <c r="O15" s="638"/>
      <c r="P15" s="638"/>
      <c r="Q15" s="638"/>
      <c r="R15" s="638"/>
      <c r="S15" s="638"/>
      <c r="T15" s="638"/>
      <c r="U15" s="638"/>
      <c r="V15" s="638"/>
      <c r="W15" s="638"/>
      <c r="X15" s="641"/>
    </row>
    <row r="16" spans="1:24" x14ac:dyDescent="0.2">
      <c r="A16" s="633"/>
      <c r="B16" s="639"/>
      <c r="C16" s="638"/>
      <c r="D16" s="638"/>
      <c r="E16" s="638"/>
      <c r="F16" s="638"/>
      <c r="G16" s="638"/>
      <c r="H16" s="638"/>
      <c r="I16" s="638"/>
      <c r="J16" s="638"/>
      <c r="K16" s="638"/>
      <c r="L16" s="638"/>
      <c r="M16" s="638"/>
      <c r="N16" s="638"/>
      <c r="O16" s="638"/>
      <c r="P16" s="638"/>
      <c r="Q16" s="638"/>
      <c r="R16" s="638"/>
      <c r="S16" s="638"/>
      <c r="T16" s="638"/>
      <c r="U16" s="638"/>
      <c r="V16" s="638"/>
      <c r="W16" s="638"/>
      <c r="X16" s="633"/>
    </row>
    <row r="17" spans="1:24" x14ac:dyDescent="0.2">
      <c r="A17" s="640"/>
      <c r="B17" s="639"/>
      <c r="C17" s="638"/>
      <c r="D17" s="638"/>
      <c r="E17" s="638"/>
      <c r="F17" s="638"/>
      <c r="G17" s="638"/>
      <c r="H17" s="638"/>
      <c r="I17" s="638"/>
      <c r="J17" s="638"/>
      <c r="K17" s="638"/>
      <c r="L17" s="638"/>
      <c r="M17" s="638"/>
      <c r="N17" s="638"/>
      <c r="O17" s="638"/>
      <c r="P17" s="638"/>
      <c r="Q17" s="638"/>
      <c r="R17" s="638"/>
      <c r="S17" s="638"/>
      <c r="T17" s="638"/>
      <c r="U17" s="638"/>
      <c r="V17" s="638"/>
      <c r="W17" s="638"/>
      <c r="X17" s="640"/>
    </row>
    <row r="18" spans="1:24" x14ac:dyDescent="0.2">
      <c r="A18" s="633"/>
      <c r="B18" s="639"/>
      <c r="C18" s="638"/>
      <c r="D18" s="638"/>
      <c r="E18" s="638"/>
      <c r="F18" s="638"/>
      <c r="G18" s="638"/>
      <c r="H18" s="638"/>
      <c r="I18" s="638"/>
      <c r="J18" s="638"/>
      <c r="K18" s="638"/>
      <c r="L18" s="638"/>
      <c r="M18" s="638"/>
      <c r="N18" s="638"/>
      <c r="O18" s="638"/>
      <c r="P18" s="638"/>
      <c r="Q18" s="638"/>
      <c r="R18" s="638"/>
      <c r="S18" s="638"/>
      <c r="T18" s="638"/>
      <c r="U18" s="638"/>
      <c r="V18" s="638"/>
      <c r="W18" s="638"/>
      <c r="X18" s="633"/>
    </row>
    <row r="19" spans="1:24" x14ac:dyDescent="0.2">
      <c r="A19" s="633"/>
      <c r="B19" s="639"/>
      <c r="C19" s="638"/>
      <c r="D19" s="638"/>
      <c r="E19" s="638"/>
      <c r="F19" s="638"/>
      <c r="G19" s="638"/>
      <c r="H19" s="638"/>
      <c r="I19" s="638"/>
      <c r="J19" s="638"/>
      <c r="K19" s="638"/>
      <c r="L19" s="638"/>
      <c r="M19" s="638"/>
      <c r="N19" s="638"/>
      <c r="O19" s="638"/>
      <c r="P19" s="638"/>
      <c r="Q19" s="638"/>
      <c r="R19" s="638"/>
      <c r="S19" s="638"/>
      <c r="T19" s="638"/>
      <c r="U19" s="638"/>
      <c r="V19" s="638"/>
      <c r="W19" s="638"/>
      <c r="X19" s="633"/>
    </row>
    <row r="20" spans="1:24" x14ac:dyDescent="0.2">
      <c r="A20" s="633"/>
      <c r="B20" s="639"/>
      <c r="C20" s="638"/>
      <c r="D20" s="638"/>
      <c r="E20" s="638"/>
      <c r="F20" s="638"/>
      <c r="G20" s="638"/>
      <c r="H20" s="638"/>
      <c r="I20" s="638"/>
      <c r="J20" s="638"/>
      <c r="K20" s="638"/>
      <c r="L20" s="638"/>
      <c r="M20" s="638"/>
      <c r="N20" s="638"/>
      <c r="O20" s="638"/>
      <c r="P20" s="638"/>
      <c r="Q20" s="638"/>
      <c r="R20" s="638"/>
      <c r="S20" s="638"/>
      <c r="T20" s="638"/>
      <c r="U20" s="638"/>
      <c r="V20" s="638"/>
      <c r="W20" s="638"/>
      <c r="X20" s="633"/>
    </row>
    <row r="21" spans="1:24" x14ac:dyDescent="0.2">
      <c r="A21" s="633"/>
      <c r="B21" s="639"/>
      <c r="C21" s="638"/>
      <c r="D21" s="638"/>
      <c r="E21" s="638"/>
      <c r="F21" s="638"/>
      <c r="G21" s="638"/>
      <c r="H21" s="638"/>
      <c r="I21" s="638"/>
      <c r="J21" s="638"/>
      <c r="K21" s="638"/>
      <c r="L21" s="638"/>
      <c r="M21" s="638"/>
      <c r="N21" s="638"/>
      <c r="O21" s="638"/>
      <c r="P21" s="638"/>
      <c r="Q21" s="638"/>
      <c r="R21" s="638"/>
      <c r="S21" s="638"/>
      <c r="T21" s="638"/>
      <c r="U21" s="638"/>
      <c r="V21" s="638"/>
      <c r="W21" s="638"/>
      <c r="X21" s="633"/>
    </row>
    <row r="22" spans="1:24" x14ac:dyDescent="0.2">
      <c r="A22" s="633"/>
      <c r="B22" s="639"/>
      <c r="C22" s="638"/>
      <c r="D22" s="638"/>
      <c r="E22" s="638"/>
      <c r="F22" s="638"/>
      <c r="G22" s="638"/>
      <c r="H22" s="638"/>
      <c r="I22" s="638"/>
      <c r="J22" s="638"/>
      <c r="K22" s="638"/>
      <c r="L22" s="638"/>
      <c r="M22" s="638"/>
      <c r="N22" s="638"/>
      <c r="O22" s="638"/>
      <c r="P22" s="638"/>
      <c r="Q22" s="638"/>
      <c r="R22" s="638"/>
      <c r="S22" s="638"/>
      <c r="T22" s="638"/>
      <c r="U22" s="638"/>
      <c r="V22" s="638"/>
      <c r="W22" s="638"/>
      <c r="X22" s="633"/>
    </row>
    <row r="23" spans="1:24" x14ac:dyDescent="0.2">
      <c r="A23" s="633"/>
      <c r="B23" s="639"/>
      <c r="C23" s="638"/>
      <c r="D23" s="638"/>
      <c r="E23" s="638"/>
      <c r="F23" s="638"/>
      <c r="G23" s="638"/>
      <c r="H23" s="638"/>
      <c r="I23" s="638"/>
      <c r="J23" s="638"/>
      <c r="K23" s="638"/>
      <c r="L23" s="638"/>
      <c r="M23" s="638"/>
      <c r="N23" s="638"/>
      <c r="O23" s="638"/>
      <c r="P23" s="638"/>
      <c r="Q23" s="638"/>
      <c r="R23" s="638"/>
      <c r="S23" s="638"/>
      <c r="T23" s="638"/>
      <c r="U23" s="638"/>
      <c r="V23" s="638"/>
      <c r="W23" s="638"/>
      <c r="X23" s="633"/>
    </row>
    <row r="24" spans="1:24" x14ac:dyDescent="0.2">
      <c r="A24" s="633"/>
      <c r="B24" s="639"/>
      <c r="C24" s="638"/>
      <c r="D24" s="638"/>
      <c r="E24" s="638"/>
      <c r="F24" s="638"/>
      <c r="G24" s="638"/>
      <c r="H24" s="638"/>
      <c r="I24" s="638"/>
      <c r="J24" s="638"/>
      <c r="K24" s="638"/>
      <c r="L24" s="638"/>
      <c r="M24" s="638"/>
      <c r="N24" s="638"/>
      <c r="O24" s="638"/>
      <c r="P24" s="638"/>
      <c r="Q24" s="638"/>
      <c r="R24" s="638"/>
      <c r="S24" s="638"/>
      <c r="T24" s="638"/>
      <c r="U24" s="638"/>
      <c r="V24" s="638"/>
      <c r="W24" s="638"/>
      <c r="X24" s="633"/>
    </row>
    <row r="25" spans="1:24" x14ac:dyDescent="0.2">
      <c r="A25" s="633"/>
      <c r="B25" s="639"/>
      <c r="C25" s="638"/>
      <c r="D25" s="638"/>
      <c r="E25" s="638"/>
      <c r="F25" s="638"/>
      <c r="G25" s="638"/>
      <c r="H25" s="638"/>
      <c r="I25" s="638"/>
      <c r="J25" s="638"/>
      <c r="K25" s="638"/>
      <c r="L25" s="638"/>
      <c r="M25" s="638"/>
      <c r="N25" s="638"/>
      <c r="O25" s="638"/>
      <c r="P25" s="638"/>
      <c r="Q25" s="638"/>
      <c r="R25" s="638"/>
      <c r="S25" s="638"/>
      <c r="T25" s="638"/>
      <c r="U25" s="638"/>
      <c r="V25" s="638"/>
      <c r="W25" s="638"/>
      <c r="X25" s="633"/>
    </row>
    <row r="26" spans="1:24" x14ac:dyDescent="0.2">
      <c r="A26" s="633"/>
      <c r="B26" s="639"/>
      <c r="C26" s="638"/>
      <c r="D26" s="638"/>
      <c r="E26" s="638"/>
      <c r="F26" s="638"/>
      <c r="G26" s="638"/>
      <c r="H26" s="638"/>
      <c r="I26" s="638"/>
      <c r="J26" s="638"/>
      <c r="K26" s="638"/>
      <c r="L26" s="638"/>
      <c r="M26" s="638"/>
      <c r="N26" s="638"/>
      <c r="O26" s="638"/>
      <c r="P26" s="638"/>
      <c r="Q26" s="638"/>
      <c r="R26" s="638"/>
      <c r="S26" s="638"/>
      <c r="T26" s="638"/>
      <c r="U26" s="638"/>
      <c r="V26" s="638"/>
      <c r="W26" s="638"/>
      <c r="X26" s="633"/>
    </row>
    <row r="27" spans="1:24" x14ac:dyDescent="0.2">
      <c r="A27" s="633"/>
      <c r="B27" s="639"/>
      <c r="C27" s="638"/>
      <c r="D27" s="638"/>
      <c r="E27" s="638"/>
      <c r="F27" s="638"/>
      <c r="G27" s="638"/>
      <c r="H27" s="638"/>
      <c r="I27" s="638"/>
      <c r="J27" s="638"/>
      <c r="K27" s="638"/>
      <c r="L27" s="638"/>
      <c r="M27" s="638"/>
      <c r="N27" s="638"/>
      <c r="O27" s="638"/>
      <c r="P27" s="638"/>
      <c r="Q27" s="638"/>
      <c r="R27" s="638"/>
      <c r="S27" s="638"/>
      <c r="T27" s="638"/>
      <c r="U27" s="638"/>
      <c r="V27" s="638"/>
      <c r="W27" s="638"/>
      <c r="X27" s="633"/>
    </row>
    <row r="28" spans="1:24" x14ac:dyDescent="0.2">
      <c r="A28" s="633"/>
      <c r="B28" s="639"/>
      <c r="C28" s="638"/>
      <c r="D28" s="638"/>
      <c r="E28" s="638"/>
      <c r="F28" s="638"/>
      <c r="G28" s="638"/>
      <c r="H28" s="638"/>
      <c r="I28" s="638"/>
      <c r="J28" s="638"/>
      <c r="K28" s="638"/>
      <c r="L28" s="638"/>
      <c r="M28" s="638"/>
      <c r="N28" s="638"/>
      <c r="O28" s="638"/>
      <c r="P28" s="638"/>
      <c r="Q28" s="638"/>
      <c r="R28" s="638"/>
      <c r="S28" s="638"/>
      <c r="T28" s="638"/>
      <c r="U28" s="638"/>
      <c r="V28" s="638"/>
      <c r="W28" s="638"/>
      <c r="X28" s="633"/>
    </row>
    <row r="29" spans="1:24" x14ac:dyDescent="0.2">
      <c r="A29" s="633"/>
      <c r="B29" s="639"/>
      <c r="C29" s="638"/>
      <c r="D29" s="638"/>
      <c r="E29" s="638"/>
      <c r="F29" s="638"/>
      <c r="G29" s="638"/>
      <c r="H29" s="638"/>
      <c r="I29" s="638"/>
      <c r="J29" s="638"/>
      <c r="K29" s="638"/>
      <c r="L29" s="638"/>
      <c r="M29" s="638"/>
      <c r="N29" s="638"/>
      <c r="O29" s="638"/>
      <c r="P29" s="638"/>
      <c r="Q29" s="638"/>
      <c r="R29" s="638"/>
      <c r="S29" s="638"/>
      <c r="T29" s="638"/>
      <c r="U29" s="638"/>
      <c r="V29" s="638"/>
      <c r="W29" s="638"/>
      <c r="X29" s="633"/>
    </row>
    <row r="30" spans="1:24" x14ac:dyDescent="0.2">
      <c r="A30" s="633"/>
      <c r="B30" s="639"/>
      <c r="C30" s="638"/>
      <c r="D30" s="638"/>
      <c r="E30" s="638"/>
      <c r="F30" s="638"/>
      <c r="G30" s="638"/>
      <c r="H30" s="638"/>
      <c r="I30" s="638"/>
      <c r="J30" s="638"/>
      <c r="K30" s="638"/>
      <c r="L30" s="638"/>
      <c r="M30" s="638"/>
      <c r="N30" s="638"/>
      <c r="O30" s="638"/>
      <c r="P30" s="638"/>
      <c r="Q30" s="638"/>
      <c r="R30" s="638"/>
      <c r="S30" s="638"/>
      <c r="T30" s="638"/>
      <c r="U30" s="638"/>
      <c r="V30" s="638"/>
      <c r="W30" s="638"/>
      <c r="X30" s="633"/>
    </row>
    <row r="31" spans="1:24" x14ac:dyDescent="0.2">
      <c r="A31" s="633"/>
      <c r="B31" s="639"/>
      <c r="C31" s="638"/>
      <c r="D31" s="638"/>
      <c r="E31" s="638"/>
      <c r="F31" s="638"/>
      <c r="G31" s="638"/>
      <c r="H31" s="638"/>
      <c r="I31" s="638"/>
      <c r="J31" s="638"/>
      <c r="K31" s="638"/>
      <c r="L31" s="638"/>
      <c r="M31" s="638"/>
      <c r="N31" s="638"/>
      <c r="O31" s="638"/>
      <c r="P31" s="638"/>
      <c r="Q31" s="638"/>
      <c r="R31" s="638"/>
      <c r="S31" s="638"/>
      <c r="T31" s="638"/>
      <c r="U31" s="638"/>
      <c r="V31" s="638"/>
      <c r="W31" s="638"/>
      <c r="X31" s="633"/>
    </row>
    <row r="32" spans="1:24" x14ac:dyDescent="0.2">
      <c r="A32" s="633"/>
      <c r="B32" s="639"/>
      <c r="C32" s="638"/>
      <c r="D32" s="638"/>
      <c r="E32" s="638"/>
      <c r="F32" s="638"/>
      <c r="G32" s="638"/>
      <c r="H32" s="638"/>
      <c r="I32" s="638"/>
      <c r="J32" s="638"/>
      <c r="K32" s="638"/>
      <c r="L32" s="638"/>
      <c r="M32" s="638"/>
      <c r="N32" s="638"/>
      <c r="O32" s="638"/>
      <c r="P32" s="638"/>
      <c r="Q32" s="638"/>
      <c r="R32" s="638"/>
      <c r="S32" s="638"/>
      <c r="T32" s="638"/>
      <c r="U32" s="638"/>
      <c r="V32" s="638"/>
      <c r="W32" s="638"/>
      <c r="X32" s="633"/>
    </row>
    <row r="33" spans="1:24" x14ac:dyDescent="0.2">
      <c r="A33" s="633"/>
      <c r="B33" s="639"/>
      <c r="C33" s="638"/>
      <c r="D33" s="638"/>
      <c r="E33" s="638"/>
      <c r="F33" s="638"/>
      <c r="G33" s="638"/>
      <c r="H33" s="638"/>
      <c r="I33" s="638"/>
      <c r="J33" s="638"/>
      <c r="K33" s="638"/>
      <c r="L33" s="638"/>
      <c r="M33" s="638"/>
      <c r="N33" s="638"/>
      <c r="O33" s="638"/>
      <c r="P33" s="638"/>
      <c r="Q33" s="638"/>
      <c r="R33" s="638"/>
      <c r="S33" s="638"/>
      <c r="T33" s="638"/>
      <c r="U33" s="638"/>
      <c r="V33" s="638"/>
      <c r="W33" s="638"/>
      <c r="X33" s="633"/>
    </row>
    <row r="34" spans="1:24" x14ac:dyDescent="0.2">
      <c r="A34" s="633"/>
      <c r="B34" s="639"/>
      <c r="C34" s="638"/>
      <c r="D34" s="638"/>
      <c r="E34" s="638"/>
      <c r="F34" s="638"/>
      <c r="G34" s="638"/>
      <c r="H34" s="638"/>
      <c r="I34" s="638"/>
      <c r="J34" s="638"/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3"/>
    </row>
    <row r="35" spans="1:24" x14ac:dyDescent="0.2">
      <c r="A35" s="633"/>
      <c r="B35" s="639"/>
      <c r="C35" s="638"/>
      <c r="D35" s="638"/>
      <c r="E35" s="638"/>
      <c r="F35" s="638"/>
      <c r="G35" s="638"/>
      <c r="H35" s="638"/>
      <c r="I35" s="638"/>
      <c r="J35" s="638"/>
      <c r="K35" s="638"/>
      <c r="L35" s="638"/>
      <c r="M35" s="638"/>
      <c r="N35" s="638"/>
      <c r="O35" s="638"/>
      <c r="P35" s="638"/>
      <c r="Q35" s="638"/>
      <c r="R35" s="638"/>
      <c r="S35" s="638"/>
      <c r="T35" s="638"/>
      <c r="U35" s="638"/>
      <c r="V35" s="638"/>
      <c r="W35" s="638"/>
      <c r="X35" s="633"/>
    </row>
    <row r="36" spans="1:24" x14ac:dyDescent="0.2">
      <c r="A36" s="633"/>
      <c r="B36" s="634"/>
      <c r="C36" s="633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</row>
  </sheetData>
  <sheetProtection algorithmName="SHA-512" hashValue="aDfd+lSQoQAQiRIRQZmvFtpEw2S9w97Ml0NXmBCU92AmAyndV3Ea8gKDw1VNqP1+4DfR0kc3csS3la3XhxJVYg==" saltValue="eMOpYcvc9Zg4W5T9yJm3jQ==" spinCount="100000" sheet="1" objects="1" scenarios="1" selectLockedCells="1" selectUnlockedCells="1"/>
  <pageMargins left="1.33" right="0.7" top="1.69" bottom="0.75" header="0.3" footer="0.3"/>
  <pageSetup paperSize="51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AG52"/>
  <sheetViews>
    <sheetView topLeftCell="A4" zoomScale="90" zoomScaleNormal="90" zoomScaleSheetLayoutView="90" workbookViewId="0"/>
  </sheetViews>
  <sheetFormatPr defaultColWidth="0" defaultRowHeight="15" customHeight="1" zeroHeight="1" x14ac:dyDescent="0.2"/>
  <cols>
    <col min="1" max="1" width="5.5703125" style="738" customWidth="1"/>
    <col min="2" max="2" width="17.85546875" style="485" customWidth="1"/>
    <col min="3" max="3" width="2.42578125" style="485" customWidth="1"/>
    <col min="4" max="4" width="14.42578125" style="485" customWidth="1"/>
    <col min="5" max="5" width="17.85546875" style="485" customWidth="1"/>
    <col min="6" max="7" width="8.7109375" style="485" customWidth="1"/>
    <col min="8" max="8" width="20.140625" style="485" customWidth="1"/>
    <col min="9" max="9" width="2.42578125" style="485" customWidth="1"/>
    <col min="10" max="11" width="8.7109375" style="485" customWidth="1"/>
    <col min="12" max="12" width="19" style="485" customWidth="1"/>
    <col min="13" max="13" width="4.140625" style="738" customWidth="1"/>
    <col min="14" max="14" width="2.42578125" style="738" customWidth="1"/>
    <col min="15" max="15" width="5.85546875" style="738" customWidth="1"/>
    <col min="16" max="16" width="14.42578125" style="485" customWidth="1"/>
    <col min="17" max="19" width="8.7109375" style="484" customWidth="1"/>
    <col min="20" max="24" width="8.7109375" style="484" hidden="1" customWidth="1"/>
    <col min="25" max="33" width="0" style="484" hidden="1" customWidth="1"/>
    <col min="34" max="16384" width="14.42578125" style="484" hidden="1"/>
  </cols>
  <sheetData>
    <row r="1" spans="1:16" ht="15" customHeight="1" x14ac:dyDescent="0.2">
      <c r="B1" s="1103" t="s">
        <v>553</v>
      </c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/>
      <c r="O1" s="1234"/>
      <c r="P1" s="1234"/>
    </row>
    <row r="2" spans="1:16" s="746" customFormat="1" ht="15" customHeight="1" x14ac:dyDescent="0.2">
      <c r="A2" s="738"/>
      <c r="B2" s="1103" t="str">
        <f>'Penilaian Perilaku'!A2</f>
        <v>JABATAN GURU</v>
      </c>
      <c r="C2" s="1234"/>
      <c r="D2" s="1234"/>
      <c r="E2" s="1234"/>
      <c r="F2" s="1234"/>
      <c r="G2" s="1234"/>
      <c r="H2" s="1234"/>
      <c r="I2" s="1234"/>
      <c r="J2" s="1234"/>
      <c r="K2" s="1234"/>
      <c r="L2" s="1234"/>
      <c r="M2" s="1234"/>
      <c r="N2" s="1234"/>
      <c r="O2" s="1234"/>
      <c r="P2" s="1234"/>
    </row>
    <row r="3" spans="1:16" s="746" customFormat="1" ht="10.5" customHeight="1" x14ac:dyDescent="0.2">
      <c r="A3" s="738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738"/>
      <c r="N3" s="738"/>
      <c r="O3" s="738"/>
      <c r="P3" s="485"/>
    </row>
    <row r="4" spans="1:16" s="746" customFormat="1" ht="15" customHeight="1" x14ac:dyDescent="0.2">
      <c r="A4" s="738"/>
      <c r="B4" s="485"/>
      <c r="C4" s="485"/>
      <c r="D4" s="485"/>
      <c r="E4" s="485"/>
      <c r="F4" s="485"/>
      <c r="G4" s="485"/>
      <c r="H4" s="485"/>
      <c r="I4" s="485"/>
      <c r="J4" s="485" t="s">
        <v>349</v>
      </c>
      <c r="K4" s="485"/>
      <c r="L4" s="485"/>
      <c r="M4" s="738"/>
      <c r="N4" s="738"/>
      <c r="O4" s="738"/>
      <c r="P4" s="485"/>
    </row>
    <row r="5" spans="1:16" s="749" customFormat="1" ht="15" customHeight="1" x14ac:dyDescent="0.2">
      <c r="A5" s="1235" t="s">
        <v>420</v>
      </c>
      <c r="B5" s="1235"/>
      <c r="C5" s="747" t="s">
        <v>16</v>
      </c>
      <c r="D5" s="1236" t="str">
        <f>'DATA SKP2'!F3</f>
        <v>MTs Negeri 5 Sleman</v>
      </c>
      <c r="E5" s="1236"/>
      <c r="F5" s="1236"/>
      <c r="G5" s="1236"/>
      <c r="H5" s="485"/>
      <c r="I5" s="747"/>
      <c r="J5" s="748" t="str">
        <f>PERIODE!E12</f>
        <v>01 Juli s.d. 31 Desember 2021</v>
      </c>
      <c r="K5" s="748"/>
      <c r="L5" s="748"/>
      <c r="M5" s="747"/>
      <c r="N5" s="747"/>
      <c r="O5" s="747"/>
      <c r="P5" s="748"/>
    </row>
    <row r="6" spans="1:16" s="749" customFormat="1" ht="10.5" customHeight="1" x14ac:dyDescent="0.2">
      <c r="A6" s="750"/>
      <c r="B6" s="750"/>
      <c r="C6" s="747"/>
      <c r="D6" s="751"/>
      <c r="E6" s="751"/>
      <c r="F6" s="751"/>
      <c r="G6" s="751"/>
      <c r="H6" s="485"/>
      <c r="I6" s="747"/>
      <c r="J6" s="748"/>
      <c r="K6" s="748"/>
      <c r="L6" s="748"/>
      <c r="M6" s="747"/>
      <c r="N6" s="747"/>
      <c r="O6" s="747"/>
      <c r="P6" s="748"/>
    </row>
    <row r="7" spans="1:16" s="749" customFormat="1" ht="15" customHeight="1" x14ac:dyDescent="0.2">
      <c r="A7" s="1237" t="s">
        <v>85</v>
      </c>
      <c r="B7" s="1238"/>
      <c r="C7" s="1238"/>
      <c r="D7" s="1238"/>
      <c r="E7" s="1238"/>
      <c r="F7" s="1238"/>
      <c r="G7" s="1239"/>
      <c r="H7" s="1240" t="s">
        <v>86</v>
      </c>
      <c r="I7" s="1241"/>
      <c r="J7" s="1241"/>
      <c r="K7" s="1241"/>
      <c r="L7" s="1241"/>
      <c r="M7" s="1241"/>
      <c r="N7" s="1241"/>
      <c r="O7" s="1241"/>
      <c r="P7" s="1242"/>
    </row>
    <row r="8" spans="1:16" s="749" customFormat="1" ht="19.5" customHeight="1" x14ac:dyDescent="0.2">
      <c r="A8" s="1243" t="s">
        <v>2</v>
      </c>
      <c r="B8" s="1244"/>
      <c r="C8" s="752" t="s">
        <v>16</v>
      </c>
      <c r="D8" s="753" t="str">
        <f>'DATA SKP2'!F6</f>
        <v>Sirajudin, S.Pd</v>
      </c>
      <c r="E8" s="753"/>
      <c r="F8" s="753"/>
      <c r="G8" s="753"/>
      <c r="H8" s="754" t="s">
        <v>2</v>
      </c>
      <c r="I8" s="755" t="s">
        <v>16</v>
      </c>
      <c r="J8" s="753" t="str">
        <f>'DATA SKP2'!F12</f>
        <v>Drs. Busyroni Majid, M.Si</v>
      </c>
      <c r="K8" s="753"/>
      <c r="L8" s="753"/>
      <c r="M8" s="756"/>
      <c r="N8" s="756"/>
      <c r="O8" s="756"/>
      <c r="P8" s="757"/>
    </row>
    <row r="9" spans="1:16" s="749" customFormat="1" ht="19.5" customHeight="1" x14ac:dyDescent="0.2">
      <c r="A9" s="1243" t="s">
        <v>3</v>
      </c>
      <c r="B9" s="1244"/>
      <c r="C9" s="752" t="s">
        <v>16</v>
      </c>
      <c r="D9" s="753" t="str">
        <f>'DATA SKP2'!F7</f>
        <v>19730115 200710 1 001</v>
      </c>
      <c r="E9" s="753"/>
      <c r="F9" s="753"/>
      <c r="G9" s="753"/>
      <c r="H9" s="754" t="s">
        <v>3</v>
      </c>
      <c r="I9" s="755" t="s">
        <v>16</v>
      </c>
      <c r="J9" s="934" t="str">
        <f>'DATA SKP2'!F13</f>
        <v>19690921 199503 1 001</v>
      </c>
      <c r="K9" s="753"/>
      <c r="L9" s="753"/>
      <c r="M9" s="756"/>
      <c r="N9" s="756"/>
      <c r="O9" s="756"/>
      <c r="P9" s="757"/>
    </row>
    <row r="10" spans="1:16" s="749" customFormat="1" ht="19.5" customHeight="1" x14ac:dyDescent="0.2">
      <c r="A10" s="1243" t="s">
        <v>106</v>
      </c>
      <c r="B10" s="1244"/>
      <c r="C10" s="752" t="s">
        <v>16</v>
      </c>
      <c r="D10" s="753" t="str">
        <f>'DATA SKP2'!F8</f>
        <v>Penata Muda, Gol. III/a</v>
      </c>
      <c r="E10" s="753"/>
      <c r="F10" s="753"/>
      <c r="G10" s="753"/>
      <c r="H10" s="754" t="s">
        <v>106</v>
      </c>
      <c r="I10" s="755" t="s">
        <v>16</v>
      </c>
      <c r="J10" s="753" t="str">
        <f>'[6]DATA PNS'!E15</f>
        <v>Pembina / IV a</v>
      </c>
      <c r="K10" s="753"/>
      <c r="L10" s="753"/>
      <c r="M10" s="756"/>
      <c r="N10" s="756"/>
      <c r="O10" s="756"/>
      <c r="P10" s="757"/>
    </row>
    <row r="11" spans="1:16" s="749" customFormat="1" ht="19.5" customHeight="1" x14ac:dyDescent="0.2">
      <c r="A11" s="1243" t="s">
        <v>4</v>
      </c>
      <c r="B11" s="1244"/>
      <c r="C11" s="752" t="s">
        <v>16</v>
      </c>
      <c r="D11" s="753" t="str">
        <f>'DATA SKP2'!F9</f>
        <v>Guru Pertama</v>
      </c>
      <c r="E11" s="753"/>
      <c r="F11" s="753"/>
      <c r="G11" s="753"/>
      <c r="H11" s="754" t="s">
        <v>4</v>
      </c>
      <c r="I11" s="755" t="s">
        <v>16</v>
      </c>
      <c r="J11" s="834" t="str">
        <f>'DATA SKP2'!G15</f>
        <v>Kepala Madrasah</v>
      </c>
      <c r="K11" s="830"/>
      <c r="L11" s="830"/>
      <c r="M11" s="830"/>
      <c r="N11" s="830"/>
      <c r="O11" s="830"/>
      <c r="P11" s="831"/>
    </row>
    <row r="12" spans="1:16" s="749" customFormat="1" ht="19.5" customHeight="1" x14ac:dyDescent="0.2">
      <c r="A12" s="1232" t="s">
        <v>5</v>
      </c>
      <c r="B12" s="1233"/>
      <c r="C12" s="758" t="s">
        <v>16</v>
      </c>
      <c r="D12" s="753" t="str">
        <f>'DATA SKP2'!F10</f>
        <v>MTs Negeri 5 Sleman</v>
      </c>
      <c r="E12" s="759"/>
      <c r="F12" s="759"/>
      <c r="G12" s="759"/>
      <c r="H12" s="760" t="s">
        <v>5</v>
      </c>
      <c r="I12" s="761" t="s">
        <v>16</v>
      </c>
      <c r="J12" s="835" t="str">
        <f>'DATA SKP2'!F16</f>
        <v>MTs Negeri 5 Sleman</v>
      </c>
      <c r="K12" s="832"/>
      <c r="L12" s="832"/>
      <c r="M12" s="832"/>
      <c r="N12" s="832"/>
      <c r="O12" s="832"/>
      <c r="P12" s="833"/>
    </row>
    <row r="13" spans="1:16" s="762" customFormat="1" ht="36" customHeight="1" x14ac:dyDescent="0.2">
      <c r="A13" s="739" t="s">
        <v>1</v>
      </c>
      <c r="B13" s="1245" t="s">
        <v>350</v>
      </c>
      <c r="C13" s="1246"/>
      <c r="D13" s="1246"/>
      <c r="E13" s="1216" t="s">
        <v>351</v>
      </c>
      <c r="F13" s="1246"/>
      <c r="G13" s="1246"/>
      <c r="H13" s="739" t="s">
        <v>352</v>
      </c>
      <c r="I13" s="1245" t="s">
        <v>353</v>
      </c>
      <c r="J13" s="1245"/>
      <c r="K13" s="1245"/>
      <c r="L13" s="1245"/>
      <c r="M13" s="1216" t="s">
        <v>7</v>
      </c>
      <c r="N13" s="1216"/>
      <c r="O13" s="1216"/>
      <c r="P13" s="1216"/>
    </row>
    <row r="14" spans="1:16" s="765" customFormat="1" ht="15" customHeight="1" x14ac:dyDescent="0.2">
      <c r="A14" s="763" t="s">
        <v>354</v>
      </c>
      <c r="B14" s="1217" t="s">
        <v>355</v>
      </c>
      <c r="C14" s="1218"/>
      <c r="D14" s="1219"/>
      <c r="E14" s="1220" t="s">
        <v>356</v>
      </c>
      <c r="F14" s="1218"/>
      <c r="G14" s="1219"/>
      <c r="H14" s="764" t="s">
        <v>357</v>
      </c>
      <c r="I14" s="1220" t="s">
        <v>373</v>
      </c>
      <c r="J14" s="1218"/>
      <c r="K14" s="1218"/>
      <c r="L14" s="1219"/>
      <c r="M14" s="1220" t="s">
        <v>359</v>
      </c>
      <c r="N14" s="1221"/>
      <c r="O14" s="1221"/>
      <c r="P14" s="1222"/>
    </row>
    <row r="15" spans="1:16" s="746" customFormat="1" ht="15" customHeight="1" x14ac:dyDescent="0.2">
      <c r="A15" s="1207" t="s">
        <v>360</v>
      </c>
      <c r="B15" s="1208"/>
      <c r="C15" s="1208"/>
      <c r="D15" s="1208"/>
      <c r="E15" s="1209"/>
      <c r="F15" s="1209"/>
      <c r="G15" s="1209"/>
      <c r="H15" s="1209"/>
      <c r="I15" s="1209"/>
      <c r="J15" s="1209"/>
      <c r="K15" s="1209"/>
      <c r="L15" s="1209"/>
      <c r="M15" s="1307"/>
      <c r="N15" s="1307"/>
      <c r="O15" s="1307"/>
      <c r="P15" s="1308"/>
    </row>
    <row r="16" spans="1:16" s="769" customFormat="1" ht="30" customHeight="1" x14ac:dyDescent="0.2">
      <c r="A16" s="1172">
        <f>IF('[6]RENCANA SKP'!A16="","",'[6]RENCANA SKP'!A16)</f>
        <v>1</v>
      </c>
      <c r="B16" s="1195" t="str">
        <f>IF('RENCANA SKP'!F16="","",'RENCANA SKP'!F16)</f>
        <v>Meningkatnya kualitas penerapan kurikulum dan pola pembelajaran inovatif</v>
      </c>
      <c r="C16" s="1196"/>
      <c r="D16" s="1197"/>
      <c r="E16" s="1211" t="str">
        <f>IF('RENCANA SKP'!I16="","",'RENCANA SKP'!I16)</f>
        <v>Terlaksananya penerapan metode pembelajaran inovatif dalam kurikulum mapel Penjaskes pada kelas VII A-B-C-D, VIII C-D</v>
      </c>
      <c r="F16" s="1212"/>
      <c r="G16" s="1213"/>
      <c r="H16" s="766" t="s">
        <v>361</v>
      </c>
      <c r="I16" s="1120" t="str">
        <f>IF('RENCANA SKP'!M16="","",'RENCANA SKP'!M16)</f>
        <v>Jumlah dokumen laporan pembelajaran</v>
      </c>
      <c r="J16" s="1166"/>
      <c r="K16" s="1166"/>
      <c r="L16" s="1166"/>
      <c r="M16" s="857" t="str">
        <f>IF('RENCANA SKP'!Q16="","",'RENCANA SKP'!Q16)</f>
        <v/>
      </c>
      <c r="N16" s="908" t="str">
        <f>IF('RENCANA SKP'!R16="","",'RENCANA SKP'!R16)</f>
        <v/>
      </c>
      <c r="O16" s="908">
        <f>IF('RENCANA SKP'!S16="","",'RENCANA SKP'!S16)</f>
        <v>1</v>
      </c>
      <c r="P16" s="909" t="str">
        <f>IF('RENCANA SKP'!T16="","",'RENCANA SKP'!T16)</f>
        <v>dokumen</v>
      </c>
    </row>
    <row r="17" spans="1:16" s="769" customFormat="1" ht="30" customHeight="1" x14ac:dyDescent="0.2">
      <c r="A17" s="1173"/>
      <c r="B17" s="1175"/>
      <c r="C17" s="1176"/>
      <c r="D17" s="1177"/>
      <c r="E17" s="1175"/>
      <c r="F17" s="1176"/>
      <c r="G17" s="1214"/>
      <c r="H17" s="777" t="s">
        <v>591</v>
      </c>
      <c r="I17" s="1120" t="str">
        <f>IF('RENCANA SKP'!M17="","",'RENCANA SKP'!M17)</f>
        <v>Tingkat penerapan pembelajaran inovatif</v>
      </c>
      <c r="J17" s="1166"/>
      <c r="K17" s="1166"/>
      <c r="L17" s="1167"/>
      <c r="M17" s="857">
        <f>IF('RENCANA SKP'!Q17="","",'RENCANA SKP'!Q17)</f>
        <v>80</v>
      </c>
      <c r="N17" s="908" t="str">
        <f>IF('RENCANA SKP'!R17="","",'RENCANA SKP'!R17)</f>
        <v>-</v>
      </c>
      <c r="O17" s="908">
        <f>IF('RENCANA SKP'!S17="","",'RENCANA SKP'!S17)</f>
        <v>90</v>
      </c>
      <c r="P17" s="909" t="str">
        <f>IF('RENCANA SKP'!T17="","",'RENCANA SKP'!T17)</f>
        <v>persen</v>
      </c>
    </row>
    <row r="18" spans="1:16" s="769" customFormat="1" ht="30" customHeight="1" x14ac:dyDescent="0.2">
      <c r="A18" s="1192"/>
      <c r="B18" s="1178"/>
      <c r="C18" s="1179"/>
      <c r="D18" s="1180"/>
      <c r="E18" s="1178"/>
      <c r="F18" s="1179"/>
      <c r="G18" s="1215"/>
      <c r="H18" s="772" t="s">
        <v>593</v>
      </c>
      <c r="I18" s="1120" t="str">
        <f>IF('RENCANA SKP'!M18="","",'RENCANA SKP'!M18)</f>
        <v>Waktu pelaksanaan pembelajaran</v>
      </c>
      <c r="J18" s="1166"/>
      <c r="K18" s="1166"/>
      <c r="L18" s="1167"/>
      <c r="M18" s="857" t="str">
        <f>IF('RENCANA SKP'!Q18="","",'RENCANA SKP'!Q18)</f>
        <v/>
      </c>
      <c r="N18" s="908" t="str">
        <f>IF('RENCANA SKP'!R18="","",'RENCANA SKP'!R18)</f>
        <v/>
      </c>
      <c r="O18" s="908">
        <f>IF('RENCANA SKP'!S18="","",'RENCANA SKP'!S18)</f>
        <v>6</v>
      </c>
      <c r="P18" s="909" t="str">
        <f>IF('RENCANA SKP'!T18="","",'RENCANA SKP'!T18)</f>
        <v>bulan</v>
      </c>
    </row>
    <row r="19" spans="1:16" s="769" customFormat="1" ht="30" customHeight="1" x14ac:dyDescent="0.2">
      <c r="A19" s="1172">
        <f>IF('[6]RENCANA SKP'!A19="","",'[6]RENCANA SKP'!A19)</f>
        <v>2</v>
      </c>
      <c r="B19" s="1195" t="str">
        <f>IF('RENCANA SKP'!F19="","",'RENCANA SKP'!F19)</f>
        <v>Meningkatnya kualitas penilaian pendidikan</v>
      </c>
      <c r="C19" s="1196"/>
      <c r="D19" s="1197"/>
      <c r="E19" s="1211" t="str">
        <f>IF('RENCANA SKP'!I19="","",'RENCANA SKP'!I19)</f>
        <v>Terlaksananya pembelajaran mapel Penjaskes pada kelas VII A-B-C-D, VIII C-D yang menggunakan bahan belajar berbasis TIK untuk e-pembelajaran</v>
      </c>
      <c r="F19" s="1212"/>
      <c r="G19" s="1213"/>
      <c r="H19" s="766" t="s">
        <v>361</v>
      </c>
      <c r="I19" s="1120" t="str">
        <f>IF('RENCANA SKP'!M19="","",'RENCANA SKP'!M19)</f>
        <v>Jumlah dokumen laporan pembelajaran</v>
      </c>
      <c r="J19" s="1166"/>
      <c r="K19" s="1166"/>
      <c r="L19" s="1167"/>
      <c r="M19" s="857" t="str">
        <f>IF('RENCANA SKP'!Q19="","",'RENCANA SKP'!Q19)</f>
        <v/>
      </c>
      <c r="N19" s="908" t="str">
        <f>IF('RENCANA SKP'!R19="","",'RENCANA SKP'!R19)</f>
        <v/>
      </c>
      <c r="O19" s="908">
        <f>IF('RENCANA SKP'!S19="","",'RENCANA SKP'!S19)</f>
        <v>1</v>
      </c>
      <c r="P19" s="909" t="str">
        <f>IF('RENCANA SKP'!T19="","",'RENCANA SKP'!T19)</f>
        <v>dokumen</v>
      </c>
    </row>
    <row r="20" spans="1:16" s="769" customFormat="1" ht="30" customHeight="1" x14ac:dyDescent="0.2">
      <c r="A20" s="1173"/>
      <c r="B20" s="1175"/>
      <c r="C20" s="1176"/>
      <c r="D20" s="1177"/>
      <c r="E20" s="1175"/>
      <c r="F20" s="1176"/>
      <c r="G20" s="1214"/>
      <c r="H20" s="777" t="s">
        <v>591</v>
      </c>
      <c r="I20" s="1120" t="str">
        <f>IF('RENCANA SKP'!M20="","",'RENCANA SKP'!M20)</f>
        <v>Tingkat penerapan pembelajaran berbasis TIK</v>
      </c>
      <c r="J20" s="1166"/>
      <c r="K20" s="1166"/>
      <c r="L20" s="1167"/>
      <c r="M20" s="857">
        <f>IF('RENCANA SKP'!Q20="","",'RENCANA SKP'!Q20)</f>
        <v>80</v>
      </c>
      <c r="N20" s="908" t="str">
        <f>IF('RENCANA SKP'!R20="","",'RENCANA SKP'!R20)</f>
        <v>-</v>
      </c>
      <c r="O20" s="908">
        <f>IF('RENCANA SKP'!S20="","",'RENCANA SKP'!S20)</f>
        <v>90</v>
      </c>
      <c r="P20" s="909" t="str">
        <f>IF('RENCANA SKP'!T20="","",'RENCANA SKP'!T20)</f>
        <v>persen</v>
      </c>
    </row>
    <row r="21" spans="1:16" s="769" customFormat="1" ht="30" customHeight="1" x14ac:dyDescent="0.2">
      <c r="A21" s="1192"/>
      <c r="B21" s="1178"/>
      <c r="C21" s="1179"/>
      <c r="D21" s="1180"/>
      <c r="E21" s="1178"/>
      <c r="F21" s="1179"/>
      <c r="G21" s="1215"/>
      <c r="H21" s="774" t="s">
        <v>593</v>
      </c>
      <c r="I21" s="1120" t="str">
        <f>IF('RENCANA SKP'!M21="","",'RENCANA SKP'!M21)</f>
        <v>Waktu pelaksanaan pembelajaran</v>
      </c>
      <c r="J21" s="1166"/>
      <c r="K21" s="1166"/>
      <c r="L21" s="1167"/>
      <c r="M21" s="857" t="str">
        <f>IF('RENCANA SKP'!Q21="","",'RENCANA SKP'!Q21)</f>
        <v/>
      </c>
      <c r="N21" s="908" t="str">
        <f>IF('RENCANA SKP'!R21="","",'RENCANA SKP'!R21)</f>
        <v/>
      </c>
      <c r="O21" s="908">
        <f>IF('RENCANA SKP'!S21="","",'RENCANA SKP'!S21)</f>
        <v>6</v>
      </c>
      <c r="P21" s="909" t="str">
        <f>IF('RENCANA SKP'!T21="","",'RENCANA SKP'!T21)</f>
        <v>bulan</v>
      </c>
    </row>
    <row r="22" spans="1:16" s="769" customFormat="1" ht="30" customHeight="1" x14ac:dyDescent="0.2">
      <c r="A22" s="1172">
        <f>IF('[6]RENCANA SKP'!A22="","",'[6]RENCANA SKP'!A22)</f>
        <v>3</v>
      </c>
      <c r="B22" s="1195" t="str">
        <f>IF('RENCANA SKP'!F22="","",'RENCANA SKP'!F22)</f>
        <v xml:space="preserve">Meningkatnya penerapan teknologi informasi dan komunikasi dalam sistem pembelajaran </v>
      </c>
      <c r="C22" s="1196"/>
      <c r="D22" s="1197"/>
      <c r="E22" s="1211" t="str">
        <f>IF('RENCANA SKP'!I22="","",'RENCANA SKP'!I22)</f>
        <v>Tersedianya bahan ajar mapel Penjaskes  pada kelas VII  A-B-C-D, VIII C-D  yang mengintegrasikan pendidikan karakter sesuai kurikulum madrasah</v>
      </c>
      <c r="F22" s="1212"/>
      <c r="G22" s="1213"/>
      <c r="H22" s="776" t="s">
        <v>361</v>
      </c>
      <c r="I22" s="1120" t="str">
        <f>IF('RENCANA SKP'!M22="","",'RENCANA SKP'!M22)</f>
        <v>Jumlah dokumen laporan pembelajaran</v>
      </c>
      <c r="J22" s="1166"/>
      <c r="K22" s="1166"/>
      <c r="L22" s="1167"/>
      <c r="M22" s="857" t="str">
        <f>IF('RENCANA SKP'!Q22="","",'RENCANA SKP'!Q22)</f>
        <v/>
      </c>
      <c r="N22" s="908" t="str">
        <f>IF('RENCANA SKP'!R22="","",'RENCANA SKP'!R22)</f>
        <v/>
      </c>
      <c r="O22" s="908">
        <f>IF('RENCANA SKP'!S22="","",'RENCANA SKP'!S22)</f>
        <v>1</v>
      </c>
      <c r="P22" s="909" t="str">
        <f>IF('RENCANA SKP'!T22="","",'RENCANA SKP'!T22)</f>
        <v>dokumen</v>
      </c>
    </row>
    <row r="23" spans="1:16" s="769" customFormat="1" ht="30" customHeight="1" x14ac:dyDescent="0.2">
      <c r="A23" s="1173"/>
      <c r="B23" s="1175"/>
      <c r="C23" s="1176"/>
      <c r="D23" s="1177"/>
      <c r="E23" s="1175"/>
      <c r="F23" s="1176"/>
      <c r="G23" s="1214"/>
      <c r="H23" s="777" t="s">
        <v>591</v>
      </c>
      <c r="I23" s="1120" t="str">
        <f>IF('RENCANA SKP'!M23="","",'RENCANA SKP'!M23)</f>
        <v>Tingkat penerapan pembelajaran karakter</v>
      </c>
      <c r="J23" s="1166"/>
      <c r="K23" s="1166"/>
      <c r="L23" s="1167"/>
      <c r="M23" s="857">
        <f>IF('RENCANA SKP'!Q23="","",'RENCANA SKP'!Q23)</f>
        <v>80</v>
      </c>
      <c r="N23" s="908" t="str">
        <f>IF('RENCANA SKP'!R23="","",'RENCANA SKP'!R23)</f>
        <v>-</v>
      </c>
      <c r="O23" s="908">
        <f>IF('RENCANA SKP'!S23="","",'RENCANA SKP'!S23)</f>
        <v>90</v>
      </c>
      <c r="P23" s="909" t="str">
        <f>IF('RENCANA SKP'!T23="","",'RENCANA SKP'!T23)</f>
        <v>persen</v>
      </c>
    </row>
    <row r="24" spans="1:16" s="769" customFormat="1" ht="30" customHeight="1" x14ac:dyDescent="0.2">
      <c r="A24" s="1192"/>
      <c r="B24" s="1178"/>
      <c r="C24" s="1179"/>
      <c r="D24" s="1180"/>
      <c r="E24" s="1178"/>
      <c r="F24" s="1179"/>
      <c r="G24" s="1215"/>
      <c r="H24" s="772" t="s">
        <v>593</v>
      </c>
      <c r="I24" s="1120" t="str">
        <f>IF('RENCANA SKP'!M24="","",'RENCANA SKP'!M24)</f>
        <v>Waktu pelaksanaan pembelajaran</v>
      </c>
      <c r="J24" s="1166"/>
      <c r="K24" s="1166"/>
      <c r="L24" s="1167"/>
      <c r="M24" s="857" t="str">
        <f>IF('RENCANA SKP'!Q24="","",'RENCANA SKP'!Q24)</f>
        <v/>
      </c>
      <c r="N24" s="908" t="str">
        <f>IF('RENCANA SKP'!R24="","",'RENCANA SKP'!R24)</f>
        <v/>
      </c>
      <c r="O24" s="908">
        <f>IF('RENCANA SKP'!S24="","",'RENCANA SKP'!S24)</f>
        <v>6</v>
      </c>
      <c r="P24" s="909" t="str">
        <f>IF('RENCANA SKP'!T24="","",'RENCANA SKP'!T24)</f>
        <v>bulan</v>
      </c>
    </row>
    <row r="25" spans="1:16" s="769" customFormat="1" ht="30" hidden="1" customHeight="1" x14ac:dyDescent="0.2">
      <c r="A25" s="1172">
        <f>IF('[6]RENCANA SKP'!A25="","",'[6]RENCANA SKP'!A25)</f>
        <v>4</v>
      </c>
      <c r="B25" s="1195" t="str">
        <f>IF('RENCANA SKP'!F25="","",'RENCANA SKP'!F25)</f>
        <v>-</v>
      </c>
      <c r="C25" s="1196"/>
      <c r="D25" s="1197"/>
      <c r="E25" s="1211" t="str">
        <f>IF('RENCANA SKP'!I25="","",'RENCANA SKP'!I25)</f>
        <v/>
      </c>
      <c r="F25" s="1212"/>
      <c r="G25" s="1213"/>
      <c r="H25" s="776"/>
      <c r="I25" s="1120" t="str">
        <f>IF('RENCANA SKP'!M25="","",'RENCANA SKP'!M25)</f>
        <v/>
      </c>
      <c r="J25" s="1166"/>
      <c r="K25" s="1166"/>
      <c r="L25" s="1167"/>
      <c r="M25" s="857" t="str">
        <f>IF('RENCANA SKP'!Q25="","",'RENCANA SKP'!Q25)</f>
        <v/>
      </c>
      <c r="N25" s="908" t="str">
        <f>IF('RENCANA SKP'!R25="","",'RENCANA SKP'!R25)</f>
        <v/>
      </c>
      <c r="O25" s="908" t="str">
        <f>IF('RENCANA SKP'!S25="","",'RENCANA SKP'!S25)</f>
        <v/>
      </c>
      <c r="P25" s="909" t="str">
        <f>IF('RENCANA SKP'!T25="","",'RENCANA SKP'!T25)</f>
        <v/>
      </c>
    </row>
    <row r="26" spans="1:16" s="769" customFormat="1" ht="30" hidden="1" customHeight="1" x14ac:dyDescent="0.2">
      <c r="A26" s="1173"/>
      <c r="B26" s="1175"/>
      <c r="C26" s="1176"/>
      <c r="D26" s="1177"/>
      <c r="E26" s="1175"/>
      <c r="F26" s="1176"/>
      <c r="G26" s="1214"/>
      <c r="H26" s="777"/>
      <c r="I26" s="1120" t="str">
        <f>IF('RENCANA SKP'!M26="","",'RENCANA SKP'!M26)</f>
        <v/>
      </c>
      <c r="J26" s="1166"/>
      <c r="K26" s="1166"/>
      <c r="L26" s="1167"/>
      <c r="M26" s="857" t="str">
        <f>IF('RENCANA SKP'!Q26="","",'RENCANA SKP'!Q26)</f>
        <v/>
      </c>
      <c r="N26" s="908" t="str">
        <f>IF('RENCANA SKP'!R26="","",'RENCANA SKP'!R26)</f>
        <v/>
      </c>
      <c r="O26" s="908" t="str">
        <f>IF('RENCANA SKP'!S26="","",'RENCANA SKP'!S26)</f>
        <v/>
      </c>
      <c r="P26" s="909" t="str">
        <f>IF('RENCANA SKP'!T26="","",'RENCANA SKP'!T26)</f>
        <v/>
      </c>
    </row>
    <row r="27" spans="1:16" s="769" customFormat="1" ht="30" hidden="1" customHeight="1" x14ac:dyDescent="0.2">
      <c r="A27" s="1192"/>
      <c r="B27" s="1178"/>
      <c r="C27" s="1179"/>
      <c r="D27" s="1180"/>
      <c r="E27" s="1178"/>
      <c r="F27" s="1179"/>
      <c r="G27" s="1215"/>
      <c r="H27" s="772"/>
      <c r="I27" s="1120" t="str">
        <f>IF('RENCANA SKP'!M27="","",'RENCANA SKP'!M27)</f>
        <v/>
      </c>
      <c r="J27" s="1166"/>
      <c r="K27" s="1166"/>
      <c r="L27" s="1167"/>
      <c r="M27" s="857" t="str">
        <f>IF('RENCANA SKP'!Q27="","",'RENCANA SKP'!Q27)</f>
        <v/>
      </c>
      <c r="N27" s="908" t="str">
        <f>IF('RENCANA SKP'!R27="","",'RENCANA SKP'!R27)</f>
        <v/>
      </c>
      <c r="O27" s="908" t="str">
        <f>IF('RENCANA SKP'!S27="","",'RENCANA SKP'!S27)</f>
        <v/>
      </c>
      <c r="P27" s="909" t="str">
        <f>IF('RENCANA SKP'!T27="","",'RENCANA SKP'!T27)</f>
        <v/>
      </c>
    </row>
    <row r="28" spans="1:16" s="769" customFormat="1" ht="30" hidden="1" customHeight="1" x14ac:dyDescent="0.2">
      <c r="A28" s="1172">
        <f>IF('[6]RENCANA SKP'!A28="","",'[6]RENCANA SKP'!A28)</f>
        <v>5</v>
      </c>
      <c r="B28" s="1195" t="str">
        <f>IF('RENCANA SKP'!F28="","",'RENCANA SKP'!F28)</f>
        <v/>
      </c>
      <c r="C28" s="1196"/>
      <c r="D28" s="1197"/>
      <c r="E28" s="1211" t="str">
        <f>IF('RENCANA SKP'!I28="","",'RENCANA SKP'!I28)</f>
        <v/>
      </c>
      <c r="F28" s="1212"/>
      <c r="G28" s="1213"/>
      <c r="H28" s="779" t="s">
        <v>361</v>
      </c>
      <c r="I28" s="1120" t="str">
        <f>IF('RENCANA SKP'!M28="","",'RENCANA SKP'!M28)</f>
        <v/>
      </c>
      <c r="J28" s="1166"/>
      <c r="K28" s="1166"/>
      <c r="L28" s="1167"/>
      <c r="M28" s="857" t="str">
        <f>IF('RENCANA SKP'!Q28="","",'RENCANA SKP'!Q28)</f>
        <v/>
      </c>
      <c r="N28" s="908" t="str">
        <f>IF('RENCANA SKP'!R28="","",'RENCANA SKP'!R28)</f>
        <v/>
      </c>
      <c r="O28" s="908" t="str">
        <f>IF('RENCANA SKP'!S28="","",'RENCANA SKP'!S28)</f>
        <v/>
      </c>
      <c r="P28" s="909" t="str">
        <f>IF('RENCANA SKP'!T28="","",'RENCANA SKP'!T28)</f>
        <v/>
      </c>
    </row>
    <row r="29" spans="1:16" s="769" customFormat="1" ht="30" hidden="1" customHeight="1" x14ac:dyDescent="0.2">
      <c r="A29" s="1173"/>
      <c r="B29" s="1175"/>
      <c r="C29" s="1176"/>
      <c r="D29" s="1177"/>
      <c r="E29" s="1175"/>
      <c r="F29" s="1176"/>
      <c r="G29" s="1214"/>
      <c r="H29" s="777" t="s">
        <v>591</v>
      </c>
      <c r="I29" s="1120" t="str">
        <f>IF('RENCANA SKP'!M29="","",'RENCANA SKP'!M29)</f>
        <v/>
      </c>
      <c r="J29" s="1166"/>
      <c r="K29" s="1166"/>
      <c r="L29" s="1167"/>
      <c r="M29" s="857" t="str">
        <f>IF('RENCANA SKP'!Q29="","",'RENCANA SKP'!Q29)</f>
        <v/>
      </c>
      <c r="N29" s="908" t="str">
        <f>IF('RENCANA SKP'!R29="","",'RENCANA SKP'!R29)</f>
        <v/>
      </c>
      <c r="O29" s="908" t="str">
        <f>IF('RENCANA SKP'!S29="","",'RENCANA SKP'!S29)</f>
        <v/>
      </c>
      <c r="P29" s="909" t="str">
        <f>IF('RENCANA SKP'!T29="","",'RENCANA SKP'!T29)</f>
        <v/>
      </c>
    </row>
    <row r="30" spans="1:16" s="769" customFormat="1" ht="30" hidden="1" customHeight="1" x14ac:dyDescent="0.2">
      <c r="A30" s="1192"/>
      <c r="B30" s="1178"/>
      <c r="C30" s="1179"/>
      <c r="D30" s="1180"/>
      <c r="E30" s="1178"/>
      <c r="F30" s="1179"/>
      <c r="G30" s="1215"/>
      <c r="H30" s="772" t="s">
        <v>593</v>
      </c>
      <c r="I30" s="1120" t="str">
        <f>IF('RENCANA SKP'!M30="","",'RENCANA SKP'!M30)</f>
        <v/>
      </c>
      <c r="J30" s="1166"/>
      <c r="K30" s="1166"/>
      <c r="L30" s="1167"/>
      <c r="M30" s="857" t="str">
        <f>IF('RENCANA SKP'!Q30="","",'RENCANA SKP'!Q30)</f>
        <v/>
      </c>
      <c r="N30" s="908" t="str">
        <f>IF('RENCANA SKP'!R30="","",'RENCANA SKP'!R30)</f>
        <v/>
      </c>
      <c r="O30" s="908" t="str">
        <f>IF('RENCANA SKP'!S30="","",'RENCANA SKP'!S30)</f>
        <v/>
      </c>
      <c r="P30" s="909" t="str">
        <f>IF('RENCANA SKP'!T30="","",'RENCANA SKP'!T30)</f>
        <v/>
      </c>
    </row>
    <row r="31" spans="1:16" s="769" customFormat="1" ht="15" hidden="1" customHeight="1" x14ac:dyDescent="0.2">
      <c r="A31" s="780"/>
      <c r="B31" s="781"/>
      <c r="C31" s="781"/>
      <c r="D31" s="781"/>
      <c r="E31" s="781"/>
      <c r="F31" s="781"/>
      <c r="G31" s="781"/>
      <c r="H31" s="782"/>
      <c r="I31" s="782"/>
      <c r="J31" s="782"/>
      <c r="K31" s="782"/>
      <c r="L31" s="782"/>
      <c r="M31" s="783"/>
      <c r="N31" s="783"/>
      <c r="O31" s="783"/>
      <c r="P31" s="784"/>
    </row>
    <row r="32" spans="1:16" s="769" customFormat="1" ht="23.45" customHeight="1" x14ac:dyDescent="0.2">
      <c r="A32" s="1309" t="s">
        <v>366</v>
      </c>
      <c r="B32" s="1310"/>
      <c r="C32" s="1310"/>
      <c r="D32" s="1310"/>
      <c r="E32" s="1310"/>
      <c r="F32" s="1310"/>
      <c r="G32" s="1310"/>
      <c r="H32" s="1310"/>
      <c r="I32" s="1310"/>
      <c r="J32" s="1310"/>
      <c r="K32" s="1310"/>
      <c r="L32" s="1310"/>
      <c r="M32" s="1310"/>
      <c r="N32" s="1310"/>
      <c r="O32" s="1310"/>
      <c r="P32" s="1310"/>
    </row>
    <row r="33" spans="1:33" s="769" customFormat="1" ht="30" customHeight="1" x14ac:dyDescent="0.2">
      <c r="A33" s="1194">
        <f>IF('[6]RENCANA SKP'!A33="","",'[6]RENCANA SKP'!A33)</f>
        <v>1</v>
      </c>
      <c r="B33" s="1184" t="str">
        <f>IF('RENCANA SKP'!F33="","",'RENCANA SKP'!F33)</f>
        <v>-</v>
      </c>
      <c r="C33" s="1185"/>
      <c r="D33" s="1186"/>
      <c r="E33" s="1195" t="str">
        <f>IF('RENCANA SKP'!I33="","",'RENCANA SKP'!I33)</f>
        <v>Diklat peningkatan kompetensi guru yang telah selesai diikuti</v>
      </c>
      <c r="F33" s="1196"/>
      <c r="G33" s="1314"/>
      <c r="H33" s="922" t="s">
        <v>361</v>
      </c>
      <c r="I33" s="1198" t="str">
        <f>IF('RENCANA SKP'!M33="","",'RENCANA SKP'!M33)</f>
        <v>Jumlah kegiatan yang diikuti</v>
      </c>
      <c r="J33" s="1199"/>
      <c r="K33" s="1199"/>
      <c r="L33" s="1200"/>
      <c r="M33" s="910" t="str">
        <f>IF('RENCANA SKP'!Q33="","",'RENCANA SKP'!Q33)</f>
        <v/>
      </c>
      <c r="N33" s="911" t="str">
        <f>IF('RENCANA SKP'!R33="","",'RENCANA SKP'!R33)</f>
        <v/>
      </c>
      <c r="O33" s="911">
        <f>IF('RENCANA SKP'!S33="","",'RENCANA SKP'!S33)</f>
        <v>1</v>
      </c>
      <c r="P33" s="933" t="str">
        <f>IF('RENCANA SKP'!T33="","",'RENCANA SKP'!T33)</f>
        <v>kegiatan</v>
      </c>
    </row>
    <row r="34" spans="1:33" s="769" customFormat="1" ht="30" customHeight="1" x14ac:dyDescent="0.2">
      <c r="A34" s="1173"/>
      <c r="B34" s="1187"/>
      <c r="C34" s="1188"/>
      <c r="D34" s="1189"/>
      <c r="E34" s="1175"/>
      <c r="F34" s="1247"/>
      <c r="G34" s="1214"/>
      <c r="H34" s="923" t="s">
        <v>591</v>
      </c>
      <c r="I34" s="1120" t="str">
        <f>IF('RENCANA SKP'!M34="","",'RENCANA SKP'!M34)</f>
        <v>Tingkat pemahaman materi Diklat</v>
      </c>
      <c r="J34" s="1166"/>
      <c r="K34" s="1166"/>
      <c r="L34" s="1167"/>
      <c r="M34" s="910">
        <f>IF('RENCANA SKP'!Q34="","",'RENCANA SKP'!Q34)</f>
        <v>80</v>
      </c>
      <c r="N34" s="911" t="str">
        <f>IF('RENCANA SKP'!R34="","",'RENCANA SKP'!R34)</f>
        <v>-</v>
      </c>
      <c r="O34" s="911">
        <f>IF('RENCANA SKP'!S34="","",'RENCANA SKP'!S34)</f>
        <v>90</v>
      </c>
      <c r="P34" s="933" t="str">
        <f>IF('RENCANA SKP'!T34="","",'RENCANA SKP'!T34)</f>
        <v>persen</v>
      </c>
    </row>
    <row r="35" spans="1:33" s="769" customFormat="1" ht="30" customHeight="1" x14ac:dyDescent="0.2">
      <c r="A35" s="1174"/>
      <c r="B35" s="1311"/>
      <c r="C35" s="1312"/>
      <c r="D35" s="1313"/>
      <c r="E35" s="1178"/>
      <c r="F35" s="1179"/>
      <c r="G35" s="1215"/>
      <c r="H35" s="772" t="s">
        <v>593</v>
      </c>
      <c r="I35" s="1120" t="str">
        <f>IF('RENCANA SKP'!M35="","",'RENCANA SKP'!M35)</f>
        <v>Jangka waktu mengikuti Diklat</v>
      </c>
      <c r="J35" s="1166"/>
      <c r="K35" s="1166"/>
      <c r="L35" s="1167"/>
      <c r="M35" s="910" t="str">
        <f>IF('RENCANA SKP'!Q35="","",'RENCANA SKP'!Q35)</f>
        <v/>
      </c>
      <c r="N35" s="911" t="str">
        <f>IF('RENCANA SKP'!R35="","",'RENCANA SKP'!R35)</f>
        <v/>
      </c>
      <c r="O35" s="911">
        <f>IF('RENCANA SKP'!S35="","",'RENCANA SKP'!S35)</f>
        <v>36</v>
      </c>
      <c r="P35" s="933" t="str">
        <f>IF('RENCANA SKP'!T35="","",'RENCANA SKP'!T35)</f>
        <v>JPL</v>
      </c>
    </row>
    <row r="36" spans="1:33" s="769" customFormat="1" ht="30" hidden="1" customHeight="1" x14ac:dyDescent="0.2">
      <c r="A36" s="1194">
        <v>2</v>
      </c>
      <c r="B36" s="1184"/>
      <c r="C36" s="1185"/>
      <c r="D36" s="1186"/>
      <c r="E36" s="1195" t="str">
        <f>IF('RENCANA SKP'!I36="","",'RENCANA SKP'!I36)</f>
        <v/>
      </c>
      <c r="F36" s="1196"/>
      <c r="G36" s="1314"/>
      <c r="H36" s="922"/>
      <c r="I36" s="1198"/>
      <c r="J36" s="1199"/>
      <c r="K36" s="1199"/>
      <c r="L36" s="1200"/>
      <c r="M36" s="910" t="str">
        <f>IF('RENCANA SKP'!Q36="","",'RENCANA SKP'!Q36)</f>
        <v/>
      </c>
      <c r="N36" s="911" t="str">
        <f>IF('RENCANA SKP'!R36="","",'RENCANA SKP'!R36)</f>
        <v/>
      </c>
      <c r="O36" s="911" t="str">
        <f>IF('RENCANA SKP'!S36="","",'RENCANA SKP'!S36)</f>
        <v/>
      </c>
      <c r="P36" s="933" t="str">
        <f>IF('RENCANA SKP'!T36="","",'RENCANA SKP'!T36)</f>
        <v/>
      </c>
    </row>
    <row r="37" spans="1:33" s="769" customFormat="1" ht="30" hidden="1" customHeight="1" x14ac:dyDescent="0.2">
      <c r="A37" s="1173"/>
      <c r="B37" s="1187"/>
      <c r="C37" s="1188"/>
      <c r="D37" s="1189"/>
      <c r="E37" s="1175"/>
      <c r="F37" s="1247"/>
      <c r="G37" s="1214"/>
      <c r="H37" s="923"/>
      <c r="I37" s="1120"/>
      <c r="J37" s="1166"/>
      <c r="K37" s="1166"/>
      <c r="L37" s="1167"/>
      <c r="M37" s="910" t="str">
        <f>IF('RENCANA SKP'!Q37="","",'RENCANA SKP'!Q37)</f>
        <v/>
      </c>
      <c r="N37" s="911" t="str">
        <f>IF('RENCANA SKP'!R37="","",'RENCANA SKP'!R37)</f>
        <v/>
      </c>
      <c r="O37" s="911" t="str">
        <f>IF('RENCANA SKP'!S37="","",'RENCANA SKP'!S37)</f>
        <v/>
      </c>
      <c r="P37" s="933" t="str">
        <f>IF('RENCANA SKP'!T37="","",'RENCANA SKP'!T37)</f>
        <v/>
      </c>
    </row>
    <row r="38" spans="1:33" s="769" customFormat="1" ht="30" hidden="1" customHeight="1" x14ac:dyDescent="0.2">
      <c r="A38" s="1174"/>
      <c r="B38" s="1187"/>
      <c r="C38" s="1188"/>
      <c r="D38" s="1189"/>
      <c r="E38" s="1178"/>
      <c r="F38" s="1179"/>
      <c r="G38" s="1215"/>
      <c r="H38" s="772"/>
      <c r="I38" s="1120"/>
      <c r="J38" s="1166"/>
      <c r="K38" s="1166"/>
      <c r="L38" s="1167"/>
      <c r="M38" s="910" t="str">
        <f>IF('RENCANA SKP'!Q38="","",'RENCANA SKP'!Q38)</f>
        <v/>
      </c>
      <c r="N38" s="911" t="str">
        <f>IF('RENCANA SKP'!R38="","",'RENCANA SKP'!R38)</f>
        <v/>
      </c>
      <c r="O38" s="911" t="str">
        <f>IF('RENCANA SKP'!S38="","",'RENCANA SKP'!S38)</f>
        <v/>
      </c>
      <c r="P38" s="933" t="str">
        <f>IF('RENCANA SKP'!T38="","",'RENCANA SKP'!T38)</f>
        <v/>
      </c>
    </row>
    <row r="39" spans="1:33" s="769" customFormat="1" ht="30" hidden="1" customHeight="1" x14ac:dyDescent="0.2">
      <c r="A39" s="1194">
        <v>3</v>
      </c>
      <c r="B39" s="1184"/>
      <c r="C39" s="1185"/>
      <c r="D39" s="1186"/>
      <c r="E39" s="1195" t="str">
        <f>IF('RENCANA SKP'!I39="","",'RENCANA SKP'!I39)</f>
        <v/>
      </c>
      <c r="F39" s="1196"/>
      <c r="G39" s="1314"/>
      <c r="H39" s="922"/>
      <c r="I39" s="1120"/>
      <c r="J39" s="1166"/>
      <c r="K39" s="1166"/>
      <c r="L39" s="1167"/>
      <c r="M39" s="910" t="str">
        <f>IF('RENCANA SKP'!Q39="","",'RENCANA SKP'!Q39)</f>
        <v/>
      </c>
      <c r="N39" s="911" t="str">
        <f>IF('RENCANA SKP'!R39="","",'RENCANA SKP'!R39)</f>
        <v/>
      </c>
      <c r="O39" s="911" t="str">
        <f>IF('RENCANA SKP'!S39="","",'RENCANA SKP'!S39)</f>
        <v/>
      </c>
      <c r="P39" s="933" t="str">
        <f>IF('RENCANA SKP'!T39="","",'RENCANA SKP'!T39)</f>
        <v/>
      </c>
    </row>
    <row r="40" spans="1:33" s="769" customFormat="1" ht="30" hidden="1" customHeight="1" x14ac:dyDescent="0.2">
      <c r="A40" s="1173"/>
      <c r="B40" s="1187"/>
      <c r="C40" s="1188"/>
      <c r="D40" s="1189"/>
      <c r="E40" s="1175"/>
      <c r="F40" s="1247"/>
      <c r="G40" s="1214"/>
      <c r="H40" s="923"/>
      <c r="I40" s="1120"/>
      <c r="J40" s="1166"/>
      <c r="K40" s="1166"/>
      <c r="L40" s="1167"/>
      <c r="M40" s="910" t="str">
        <f>IF('RENCANA SKP'!Q40="","",'RENCANA SKP'!Q40)</f>
        <v/>
      </c>
      <c r="N40" s="911" t="str">
        <f>IF('RENCANA SKP'!R40="","",'RENCANA SKP'!R40)</f>
        <v/>
      </c>
      <c r="O40" s="911" t="str">
        <f>IF('RENCANA SKP'!S40="","",'RENCANA SKP'!S40)</f>
        <v/>
      </c>
      <c r="P40" s="933" t="str">
        <f>IF('RENCANA SKP'!T40="","",'RENCANA SKP'!T40)</f>
        <v/>
      </c>
    </row>
    <row r="41" spans="1:33" s="769" customFormat="1" ht="30" hidden="1" customHeight="1" x14ac:dyDescent="0.2">
      <c r="A41" s="1174"/>
      <c r="B41" s="1311"/>
      <c r="C41" s="1312"/>
      <c r="D41" s="1313"/>
      <c r="E41" s="1178"/>
      <c r="F41" s="1179"/>
      <c r="G41" s="1215"/>
      <c r="H41" s="772"/>
      <c r="I41" s="1120"/>
      <c r="J41" s="1166"/>
      <c r="K41" s="1166"/>
      <c r="L41" s="1167"/>
      <c r="M41" s="910" t="str">
        <f>IF('RENCANA SKP'!Q41="","",'RENCANA SKP'!Q41)</f>
        <v/>
      </c>
      <c r="N41" s="911" t="str">
        <f>IF('RENCANA SKP'!R41="","",'RENCANA SKP'!R41)</f>
        <v/>
      </c>
      <c r="O41" s="911" t="str">
        <f>IF('RENCANA SKP'!S41="","",'RENCANA SKP'!S41)</f>
        <v/>
      </c>
      <c r="P41" s="933" t="str">
        <f>IF('RENCANA SKP'!T41="","",'RENCANA SKP'!T41)</f>
        <v/>
      </c>
    </row>
    <row r="42" spans="1:33" s="746" customFormat="1" ht="15" customHeight="1" x14ac:dyDescent="0.2">
      <c r="A42" s="738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738"/>
      <c r="N42" s="738"/>
      <c r="O42" s="738"/>
      <c r="P42" s="485"/>
    </row>
    <row r="43" spans="1:33" s="795" customFormat="1" ht="15" customHeight="1" x14ac:dyDescent="0.25">
      <c r="A43" s="787"/>
      <c r="B43" s="788"/>
      <c r="C43" s="789"/>
      <c r="D43" s="790"/>
      <c r="E43" s="787"/>
      <c r="F43" s="787"/>
      <c r="G43" s="791"/>
      <c r="H43" s="791"/>
      <c r="I43" s="792"/>
      <c r="J43" s="792"/>
      <c r="K43" s="792"/>
      <c r="L43" s="793" t="str">
        <f>"Sleman, "&amp;PERIODE!E17</f>
        <v>Sleman, 14 Juli 2021</v>
      </c>
      <c r="M43" s="794"/>
      <c r="N43" s="794"/>
      <c r="O43" s="794"/>
      <c r="P43" s="791"/>
      <c r="Q43" s="791"/>
      <c r="R43" s="791"/>
    </row>
    <row r="44" spans="1:33" s="797" customFormat="1" ht="15" customHeight="1" x14ac:dyDescent="0.25">
      <c r="A44" s="742"/>
      <c r="B44" s="796" t="s">
        <v>522</v>
      </c>
      <c r="C44" s="485"/>
      <c r="D44" s="485"/>
      <c r="E44" s="485"/>
      <c r="F44" s="485"/>
      <c r="G44" s="485"/>
      <c r="H44" s="485"/>
      <c r="I44" s="485"/>
      <c r="J44" s="485"/>
      <c r="K44" s="485"/>
      <c r="L44" s="485" t="s">
        <v>523</v>
      </c>
      <c r="M44" s="738"/>
      <c r="N44" s="738"/>
      <c r="O44" s="738"/>
      <c r="P44" s="485"/>
      <c r="Q44" s="485"/>
      <c r="R44" s="791"/>
      <c r="S44" s="795"/>
      <c r="T44" s="795"/>
      <c r="U44" s="795"/>
      <c r="V44" s="795"/>
      <c r="W44" s="795"/>
      <c r="X44" s="795"/>
      <c r="Y44" s="795"/>
      <c r="Z44" s="795"/>
      <c r="AA44" s="795"/>
      <c r="AB44" s="795"/>
      <c r="AC44" s="795"/>
      <c r="AD44" s="795"/>
      <c r="AE44" s="795"/>
      <c r="AF44" s="795"/>
      <c r="AG44" s="795"/>
    </row>
    <row r="45" spans="1:33" s="797" customFormat="1" ht="15" customHeight="1" x14ac:dyDescent="0.25">
      <c r="A45" s="794"/>
      <c r="B45" s="798"/>
      <c r="D45" s="649"/>
      <c r="E45" s="794"/>
      <c r="F45" s="794"/>
      <c r="G45" s="794"/>
      <c r="H45" s="649"/>
      <c r="I45" s="794"/>
      <c r="J45" s="794"/>
      <c r="K45" s="794"/>
      <c r="L45" s="794"/>
      <c r="M45" s="742"/>
      <c r="N45" s="742"/>
      <c r="O45" s="742"/>
      <c r="P45" s="649"/>
      <c r="Q45" s="649"/>
      <c r="R45" s="791"/>
      <c r="S45" s="795"/>
      <c r="T45" s="795"/>
      <c r="U45" s="795"/>
      <c r="V45" s="795"/>
      <c r="W45" s="795"/>
      <c r="X45" s="795"/>
      <c r="Y45" s="795"/>
      <c r="Z45" s="795"/>
      <c r="AA45" s="795"/>
      <c r="AB45" s="795"/>
      <c r="AC45" s="795"/>
      <c r="AD45" s="795"/>
      <c r="AE45" s="795"/>
      <c r="AF45" s="795"/>
      <c r="AG45" s="795"/>
    </row>
    <row r="46" spans="1:33" s="797" customFormat="1" ht="15" customHeight="1" x14ac:dyDescent="0.25">
      <c r="A46" s="794"/>
      <c r="B46" s="798"/>
      <c r="D46" s="649"/>
      <c r="E46" s="794"/>
      <c r="F46" s="794"/>
      <c r="G46" s="794"/>
      <c r="H46" s="649"/>
      <c r="I46" s="794"/>
      <c r="J46" s="794"/>
      <c r="K46" s="794"/>
      <c r="L46" s="794"/>
      <c r="M46" s="742"/>
      <c r="N46" s="742"/>
      <c r="O46" s="742"/>
      <c r="P46" s="649"/>
      <c r="Q46" s="649"/>
      <c r="R46" s="791"/>
      <c r="S46" s="795"/>
      <c r="T46" s="795"/>
      <c r="U46" s="795"/>
      <c r="V46" s="795"/>
      <c r="W46" s="795"/>
      <c r="X46" s="795"/>
      <c r="Y46" s="795"/>
      <c r="Z46" s="795"/>
      <c r="AA46" s="795"/>
      <c r="AB46" s="795"/>
      <c r="AC46" s="795"/>
      <c r="AD46" s="795"/>
      <c r="AE46" s="795"/>
      <c r="AF46" s="795"/>
      <c r="AG46" s="795"/>
    </row>
    <row r="47" spans="1:33" s="797" customFormat="1" ht="15" customHeight="1" x14ac:dyDescent="0.25">
      <c r="A47" s="794"/>
      <c r="B47" s="798"/>
      <c r="D47" s="649"/>
      <c r="E47" s="791"/>
      <c r="F47" s="791"/>
      <c r="G47" s="791"/>
      <c r="H47" s="649"/>
      <c r="I47" s="791"/>
      <c r="J47" s="791"/>
      <c r="K47" s="791"/>
      <c r="L47" s="791"/>
      <c r="M47" s="742"/>
      <c r="N47" s="742"/>
      <c r="O47" s="742"/>
      <c r="P47" s="649"/>
      <c r="Q47" s="649"/>
      <c r="R47" s="791"/>
      <c r="S47" s="795"/>
      <c r="T47" s="795"/>
      <c r="U47" s="795"/>
      <c r="V47" s="795"/>
      <c r="W47" s="795"/>
      <c r="X47" s="795"/>
      <c r="Y47" s="795"/>
      <c r="Z47" s="795"/>
      <c r="AA47" s="795"/>
      <c r="AB47" s="795"/>
      <c r="AC47" s="795"/>
      <c r="AD47" s="795"/>
      <c r="AE47" s="795"/>
      <c r="AF47" s="795"/>
      <c r="AG47" s="795"/>
    </row>
    <row r="48" spans="1:33" s="797" customFormat="1" ht="15" customHeight="1" x14ac:dyDescent="0.25">
      <c r="A48" s="794"/>
      <c r="B48" s="798"/>
      <c r="D48" s="649"/>
      <c r="E48" s="791"/>
      <c r="F48" s="791"/>
      <c r="G48" s="791"/>
      <c r="H48" s="649"/>
      <c r="I48" s="791"/>
      <c r="J48" s="791"/>
      <c r="K48" s="791"/>
      <c r="L48" s="791"/>
      <c r="M48" s="742"/>
      <c r="N48" s="742"/>
      <c r="O48" s="742"/>
      <c r="P48" s="649"/>
      <c r="Q48" s="649"/>
      <c r="R48" s="791"/>
      <c r="S48" s="795"/>
      <c r="T48" s="795"/>
      <c r="U48" s="795"/>
      <c r="V48" s="795"/>
      <c r="W48" s="795"/>
      <c r="X48" s="795"/>
      <c r="Y48" s="795"/>
      <c r="Z48" s="795"/>
      <c r="AA48" s="795"/>
      <c r="AB48" s="795"/>
      <c r="AC48" s="795"/>
      <c r="AD48" s="795"/>
      <c r="AE48" s="795"/>
      <c r="AF48" s="795"/>
      <c r="AG48" s="795"/>
    </row>
    <row r="49" spans="1:33" s="795" customFormat="1" ht="15" customHeight="1" x14ac:dyDescent="0.25">
      <c r="A49" s="794"/>
      <c r="B49" s="798" t="str">
        <f>D8</f>
        <v>Sirajudin, S.Pd</v>
      </c>
      <c r="D49" s="791"/>
      <c r="E49" s="791"/>
      <c r="F49" s="794"/>
      <c r="G49" s="791"/>
      <c r="H49" s="791"/>
      <c r="I49" s="799"/>
      <c r="J49" s="799"/>
      <c r="K49" s="799"/>
      <c r="L49" s="791" t="str">
        <f>J8</f>
        <v>Drs. Busyroni Majid, M.Si</v>
      </c>
      <c r="M49" s="794"/>
      <c r="N49" s="794"/>
      <c r="O49" s="794"/>
      <c r="P49" s="791"/>
      <c r="Q49" s="791"/>
      <c r="R49" s="791"/>
    </row>
    <row r="50" spans="1:33" s="797" customFormat="1" ht="15" customHeight="1" x14ac:dyDescent="0.25">
      <c r="A50" s="742"/>
      <c r="B50" s="798" t="str">
        <f>"NIP." &amp;D9</f>
        <v>NIP.19730115 200710 1 001</v>
      </c>
      <c r="D50" s="649"/>
      <c r="E50" s="791"/>
      <c r="F50" s="791"/>
      <c r="G50" s="649"/>
      <c r="H50" s="649"/>
      <c r="I50" s="791"/>
      <c r="J50" s="791"/>
      <c r="K50" s="791"/>
      <c r="L50" s="791" t="str">
        <f xml:space="preserve"> "NIP." &amp;J9</f>
        <v>NIP.19690921 199503 1 001</v>
      </c>
      <c r="M50" s="742"/>
      <c r="N50" s="742"/>
      <c r="O50" s="742"/>
      <c r="P50" s="649"/>
      <c r="Q50" s="649"/>
      <c r="R50" s="791"/>
      <c r="S50" s="795"/>
      <c r="T50" s="795"/>
      <c r="U50" s="795"/>
      <c r="V50" s="795"/>
      <c r="W50" s="795"/>
      <c r="X50" s="795"/>
      <c r="Y50" s="795"/>
      <c r="Z50" s="795"/>
      <c r="AA50" s="795"/>
      <c r="AB50" s="795"/>
      <c r="AC50" s="795"/>
      <c r="AD50" s="795"/>
      <c r="AE50" s="795"/>
      <c r="AF50" s="795"/>
      <c r="AG50" s="795"/>
    </row>
    <row r="51" spans="1:33" s="801" customFormat="1" x14ac:dyDescent="0.25">
      <c r="A51" s="742"/>
      <c r="B51" s="649"/>
      <c r="C51" s="791"/>
      <c r="D51" s="742"/>
      <c r="E51" s="649"/>
      <c r="F51" s="649"/>
      <c r="G51" s="649"/>
      <c r="H51" s="649"/>
      <c r="I51" s="649"/>
      <c r="J51" s="649"/>
      <c r="K51" s="649"/>
      <c r="L51" s="649"/>
      <c r="M51" s="742"/>
      <c r="N51" s="742"/>
      <c r="O51" s="742"/>
      <c r="P51" s="791"/>
      <c r="Q51" s="800"/>
      <c r="R51" s="800"/>
      <c r="S51" s="800"/>
      <c r="T51" s="800"/>
      <c r="U51" s="800"/>
      <c r="V51" s="800"/>
      <c r="W51" s="800"/>
      <c r="X51" s="800"/>
      <c r="Y51" s="800"/>
      <c r="Z51" s="800"/>
      <c r="AA51" s="800"/>
      <c r="AB51" s="800"/>
      <c r="AC51" s="800"/>
      <c r="AD51" s="800"/>
      <c r="AE51" s="800"/>
    </row>
    <row r="52" spans="1:33" ht="15" customHeight="1" x14ac:dyDescent="0.2"/>
  </sheetData>
  <sheetProtection formatCells="0" formatColumns="0" formatRows="0" insertColumns="0" insertRows="0" deleteColumns="0" deleteRows="0"/>
  <mergeCells count="69">
    <mergeCell ref="A32:P32"/>
    <mergeCell ref="I33:L33"/>
    <mergeCell ref="I34:L34"/>
    <mergeCell ref="I41:L41"/>
    <mergeCell ref="B33:D35"/>
    <mergeCell ref="E33:G35"/>
    <mergeCell ref="A33:A35"/>
    <mergeCell ref="A39:A41"/>
    <mergeCell ref="E39:G41"/>
    <mergeCell ref="I35:L35"/>
    <mergeCell ref="I39:L39"/>
    <mergeCell ref="I40:L40"/>
    <mergeCell ref="B39:D41"/>
    <mergeCell ref="A36:A38"/>
    <mergeCell ref="E36:G38"/>
    <mergeCell ref="I36:L36"/>
    <mergeCell ref="A28:A30"/>
    <mergeCell ref="B28:D30"/>
    <mergeCell ref="E28:G30"/>
    <mergeCell ref="I28:L28"/>
    <mergeCell ref="I29:L29"/>
    <mergeCell ref="I30:L30"/>
    <mergeCell ref="A25:A27"/>
    <mergeCell ref="B25:D27"/>
    <mergeCell ref="E25:G27"/>
    <mergeCell ref="I25:L25"/>
    <mergeCell ref="I26:L26"/>
    <mergeCell ref="I27:L27"/>
    <mergeCell ref="A22:A24"/>
    <mergeCell ref="B22:D24"/>
    <mergeCell ref="E22:G24"/>
    <mergeCell ref="I22:L22"/>
    <mergeCell ref="I23:L23"/>
    <mergeCell ref="I24:L24"/>
    <mergeCell ref="A19:A21"/>
    <mergeCell ref="B19:D21"/>
    <mergeCell ref="E19:G21"/>
    <mergeCell ref="I19:L19"/>
    <mergeCell ref="I20:L20"/>
    <mergeCell ref="I21:L21"/>
    <mergeCell ref="A15:P15"/>
    <mergeCell ref="A16:A18"/>
    <mergeCell ref="B16:D18"/>
    <mergeCell ref="E16:G18"/>
    <mergeCell ref="I16:L16"/>
    <mergeCell ref="I17:L17"/>
    <mergeCell ref="I18:L18"/>
    <mergeCell ref="I13:L13"/>
    <mergeCell ref="M13:P13"/>
    <mergeCell ref="B14:D14"/>
    <mergeCell ref="E14:G14"/>
    <mergeCell ref="I14:L14"/>
    <mergeCell ref="M14:P14"/>
    <mergeCell ref="I37:L37"/>
    <mergeCell ref="I38:L38"/>
    <mergeCell ref="B36:D38"/>
    <mergeCell ref="B1:P1"/>
    <mergeCell ref="B2:P2"/>
    <mergeCell ref="A5:B5"/>
    <mergeCell ref="D5:G5"/>
    <mergeCell ref="A7:G7"/>
    <mergeCell ref="H7:P7"/>
    <mergeCell ref="A8:B8"/>
    <mergeCell ref="A9:B9"/>
    <mergeCell ref="A10:B10"/>
    <mergeCell ref="A11:B11"/>
    <mergeCell ref="A12:B12"/>
    <mergeCell ref="B13:D13"/>
    <mergeCell ref="E13:G13"/>
  </mergeCells>
  <printOptions horizontalCentered="1"/>
  <pageMargins left="0.70866141732283505" right="0.70866141732283505" top="0.74803149606299202" bottom="0.74803149606299202" header="0" footer="0"/>
  <pageSetup paperSize="9" scale="80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  <pageSetUpPr fitToPage="1"/>
  </sheetPr>
  <dimension ref="A1:AG56"/>
  <sheetViews>
    <sheetView zoomScale="70" zoomScaleNormal="70" zoomScaleSheetLayoutView="70" workbookViewId="0">
      <selection sqref="A1:X1"/>
    </sheetView>
  </sheetViews>
  <sheetFormatPr defaultColWidth="0" defaultRowHeight="15" customHeight="1" x14ac:dyDescent="0.2"/>
  <cols>
    <col min="1" max="1" width="5.28515625" style="725" customWidth="1"/>
    <col min="2" max="2" width="25.85546875" style="485" customWidth="1"/>
    <col min="3" max="3" width="2.42578125" style="485" customWidth="1"/>
    <col min="4" max="5" width="18" style="485" customWidth="1"/>
    <col min="6" max="6" width="10.42578125" style="485" customWidth="1"/>
    <col min="7" max="8" width="13.28515625" style="485" customWidth="1"/>
    <col min="9" max="9" width="4.140625" style="485" customWidth="1"/>
    <col min="10" max="10" width="2.42578125" style="485" customWidth="1"/>
    <col min="11" max="11" width="6.42578125" style="485" customWidth="1"/>
    <col min="12" max="12" width="12.140625" style="485" customWidth="1"/>
    <col min="13" max="13" width="6.42578125" style="485" customWidth="1"/>
    <col min="14" max="14" width="13.28515625" style="485" customWidth="1"/>
    <col min="15" max="15" width="3.5703125" style="485" customWidth="1"/>
    <col min="16" max="16" width="4.7109375" style="485" customWidth="1"/>
    <col min="17" max="18" width="7.5703125" style="485" customWidth="1"/>
    <col min="19" max="22" width="8.7109375" style="485" customWidth="1"/>
    <col min="23" max="23" width="12.140625" style="485" customWidth="1"/>
    <col min="24" max="24" width="16.7109375" style="485" customWidth="1"/>
    <col min="25" max="27" width="8.7109375" style="484" customWidth="1"/>
    <col min="28" max="33" width="8.7109375" style="484" hidden="1" customWidth="1"/>
    <col min="34" max="16384" width="14.42578125" style="484" hidden="1"/>
  </cols>
  <sheetData>
    <row r="1" spans="1:26" ht="15" customHeight="1" x14ac:dyDescent="0.2">
      <c r="A1" s="1103" t="s">
        <v>607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</row>
    <row r="2" spans="1:26" ht="15" customHeight="1" x14ac:dyDescent="0.2">
      <c r="A2" s="1103" t="str">
        <f>'Integrasi Nilai'!A2:Q2</f>
        <v>JABATAN GURU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  <c r="O2" s="1103"/>
      <c r="P2" s="1103"/>
      <c r="Q2" s="1103"/>
      <c r="R2" s="1103"/>
      <c r="S2" s="1103"/>
      <c r="T2" s="1103"/>
      <c r="U2" s="1103"/>
      <c r="V2" s="1103"/>
      <c r="W2" s="1103"/>
      <c r="X2" s="1103"/>
    </row>
    <row r="3" spans="1:26" ht="15" customHeight="1" x14ac:dyDescent="0.2">
      <c r="B3" s="725"/>
      <c r="Y3" s="485"/>
      <c r="Z3" s="485"/>
    </row>
    <row r="4" spans="1:26" ht="15" customHeight="1" x14ac:dyDescent="0.2">
      <c r="B4" s="725"/>
      <c r="Q4" s="485" t="s">
        <v>419</v>
      </c>
    </row>
    <row r="5" spans="1:26" ht="15" customHeight="1" x14ac:dyDescent="0.2">
      <c r="A5" s="485" t="s">
        <v>420</v>
      </c>
      <c r="C5" s="485" t="s">
        <v>16</v>
      </c>
      <c r="D5" s="1104" t="str">
        <f>'DATA SKP2'!F3</f>
        <v>MTs Negeri 5 Sleman</v>
      </c>
      <c r="E5" s="1104"/>
      <c r="F5" s="1104"/>
      <c r="G5" s="1104"/>
      <c r="H5" s="1104"/>
      <c r="I5" s="1104"/>
      <c r="J5" s="726"/>
      <c r="K5" s="726"/>
      <c r="L5" s="726"/>
      <c r="M5" s="726"/>
      <c r="N5" s="726"/>
      <c r="O5" s="726"/>
      <c r="Q5" s="485" t="str">
        <f>'DATA SKP2'!F4</f>
        <v>01 Juli s.d. 31 Desember 2021</v>
      </c>
    </row>
    <row r="6" spans="1:26" ht="15" customHeight="1" x14ac:dyDescent="0.2">
      <c r="D6" s="486"/>
      <c r="E6" s="486"/>
      <c r="F6" s="486"/>
      <c r="G6" s="486"/>
      <c r="H6" s="486"/>
      <c r="I6" s="486"/>
      <c r="J6" s="726"/>
      <c r="K6" s="726"/>
      <c r="L6" s="726"/>
      <c r="M6" s="726"/>
      <c r="N6" s="726"/>
      <c r="O6" s="726"/>
      <c r="S6" s="487"/>
      <c r="Y6" s="485"/>
      <c r="Z6" s="485"/>
    </row>
    <row r="7" spans="1:26" ht="15" customHeight="1" x14ac:dyDescent="0.2">
      <c r="A7" s="1105" t="s">
        <v>85</v>
      </c>
      <c r="B7" s="1106"/>
      <c r="C7" s="1106"/>
      <c r="D7" s="1106"/>
      <c r="E7" s="1106"/>
      <c r="F7" s="1106"/>
      <c r="G7" s="1106"/>
      <c r="H7" s="1106"/>
      <c r="I7" s="1106"/>
      <c r="J7" s="1106"/>
      <c r="K7" s="1106"/>
      <c r="L7" s="1107"/>
      <c r="M7" s="1105" t="s">
        <v>86</v>
      </c>
      <c r="N7" s="1106"/>
      <c r="O7" s="1106"/>
      <c r="P7" s="1106"/>
      <c r="Q7" s="1106"/>
      <c r="R7" s="1106"/>
      <c r="S7" s="1106"/>
      <c r="T7" s="1106"/>
      <c r="U7" s="1106"/>
      <c r="V7" s="1106"/>
      <c r="W7" s="1106"/>
      <c r="X7" s="1107"/>
    </row>
    <row r="8" spans="1:26" ht="15" customHeight="1" x14ac:dyDescent="0.2">
      <c r="A8" s="1170" t="s">
        <v>2</v>
      </c>
      <c r="B8" s="1171"/>
      <c r="C8" s="490" t="s">
        <v>16</v>
      </c>
      <c r="D8" s="491" t="str">
        <f>'DATA SKP2'!F6</f>
        <v>Sirajudin, S.Pd</v>
      </c>
      <c r="E8" s="492"/>
      <c r="F8" s="492"/>
      <c r="G8" s="492"/>
      <c r="H8" s="492"/>
      <c r="I8" s="492"/>
      <c r="J8" s="492"/>
      <c r="K8" s="492"/>
      <c r="L8" s="493"/>
      <c r="M8" s="1170" t="s">
        <v>2</v>
      </c>
      <c r="N8" s="1171"/>
      <c r="O8" s="732"/>
      <c r="P8" s="490" t="s">
        <v>16</v>
      </c>
      <c r="Q8" s="713" t="str">
        <f>'DATA SKP2'!F12</f>
        <v>Drs. Busyroni Majid, M.Si</v>
      </c>
      <c r="R8" s="495"/>
      <c r="S8" s="495"/>
      <c r="T8" s="495"/>
      <c r="U8" s="495"/>
      <c r="V8" s="495"/>
      <c r="W8" s="495"/>
      <c r="X8" s="496"/>
    </row>
    <row r="9" spans="1:26" ht="15" customHeight="1" x14ac:dyDescent="0.2">
      <c r="A9" s="1170" t="s">
        <v>3</v>
      </c>
      <c r="B9" s="1171"/>
      <c r="C9" s="490" t="s">
        <v>16</v>
      </c>
      <c r="D9" s="491" t="str">
        <f>'DATA SKP2'!F7</f>
        <v>19730115 200710 1 001</v>
      </c>
      <c r="E9" s="492"/>
      <c r="F9" s="492"/>
      <c r="G9" s="492"/>
      <c r="H9" s="492"/>
      <c r="I9" s="492"/>
      <c r="J9" s="492"/>
      <c r="K9" s="492"/>
      <c r="L9" s="493"/>
      <c r="M9" s="1170" t="s">
        <v>3</v>
      </c>
      <c r="N9" s="1171"/>
      <c r="O9" s="732"/>
      <c r="P9" s="490" t="s">
        <v>16</v>
      </c>
      <c r="Q9" s="713" t="str">
        <f>'DATA SKP2'!F13</f>
        <v>19690921 199503 1 001</v>
      </c>
      <c r="R9" s="495"/>
      <c r="S9" s="495"/>
      <c r="T9" s="495"/>
      <c r="U9" s="495"/>
      <c r="V9" s="495"/>
      <c r="W9" s="495"/>
      <c r="X9" s="496"/>
    </row>
    <row r="10" spans="1:26" ht="15" customHeight="1" x14ac:dyDescent="0.2">
      <c r="A10" s="1170" t="s">
        <v>106</v>
      </c>
      <c r="B10" s="1171"/>
      <c r="C10" s="490" t="s">
        <v>16</v>
      </c>
      <c r="D10" s="491" t="str">
        <f>'DATA SKP2'!F8</f>
        <v>Penata Muda, Gol. III/a</v>
      </c>
      <c r="E10" s="492"/>
      <c r="F10" s="492"/>
      <c r="G10" s="492"/>
      <c r="H10" s="492"/>
      <c r="I10" s="492"/>
      <c r="J10" s="492"/>
      <c r="K10" s="492"/>
      <c r="L10" s="493"/>
      <c r="M10" s="1170" t="s">
        <v>106</v>
      </c>
      <c r="N10" s="1171"/>
      <c r="O10" s="732"/>
      <c r="P10" s="490" t="s">
        <v>16</v>
      </c>
      <c r="Q10" s="713" t="str">
        <f>'DATA SKP2'!F14</f>
        <v>Pembina, Gol. IV/a</v>
      </c>
      <c r="R10" s="495"/>
      <c r="S10" s="495"/>
      <c r="T10" s="495"/>
      <c r="U10" s="495"/>
      <c r="V10" s="495"/>
      <c r="W10" s="495"/>
      <c r="X10" s="496"/>
    </row>
    <row r="11" spans="1:26" ht="15" customHeight="1" x14ac:dyDescent="0.2">
      <c r="A11" s="1170" t="s">
        <v>4</v>
      </c>
      <c r="B11" s="1171"/>
      <c r="C11" s="490" t="s">
        <v>16</v>
      </c>
      <c r="D11" s="491" t="str">
        <f>'DATA SKP2'!F9</f>
        <v>Guru Pertama</v>
      </c>
      <c r="E11" s="492"/>
      <c r="F11" s="492"/>
      <c r="G11" s="492"/>
      <c r="H11" s="492"/>
      <c r="I11" s="492"/>
      <c r="J11" s="492"/>
      <c r="K11" s="492"/>
      <c r="L11" s="493"/>
      <c r="M11" s="1170" t="s">
        <v>4</v>
      </c>
      <c r="N11" s="1171"/>
      <c r="O11" s="732"/>
      <c r="P11" s="490" t="s">
        <v>16</v>
      </c>
      <c r="Q11" s="713" t="str">
        <f>'DATA SKP2'!G15</f>
        <v>Kepala Madrasah</v>
      </c>
      <c r="R11" s="495"/>
      <c r="S11" s="495"/>
      <c r="T11" s="495"/>
      <c r="U11" s="495"/>
      <c r="V11" s="495"/>
      <c r="W11" s="495"/>
      <c r="X11" s="496"/>
    </row>
    <row r="12" spans="1:26" ht="15" customHeight="1" x14ac:dyDescent="0.2">
      <c r="A12" s="1302" t="s">
        <v>5</v>
      </c>
      <c r="B12" s="1303"/>
      <c r="C12" s="714" t="s">
        <v>16</v>
      </c>
      <c r="D12" s="491" t="str">
        <f>'DATA SKP2'!F10</f>
        <v>MTs Negeri 5 Sleman</v>
      </c>
      <c r="E12" s="715"/>
      <c r="F12" s="716"/>
      <c r="G12" s="716"/>
      <c r="H12" s="716"/>
      <c r="I12" s="716"/>
      <c r="J12" s="716"/>
      <c r="K12" s="716"/>
      <c r="L12" s="714"/>
      <c r="M12" s="1302" t="s">
        <v>5</v>
      </c>
      <c r="N12" s="1303"/>
      <c r="O12" s="733"/>
      <c r="P12" s="714" t="s">
        <v>16</v>
      </c>
      <c r="Q12" s="713" t="str">
        <f>'DATA SKP2'!F16</f>
        <v>MTs Negeri 5 Sleman</v>
      </c>
      <c r="R12" s="718"/>
      <c r="S12" s="718"/>
      <c r="T12" s="718"/>
      <c r="U12" s="718"/>
      <c r="V12" s="718"/>
      <c r="W12" s="718"/>
      <c r="X12" s="719"/>
    </row>
    <row r="13" spans="1:26" s="805" customFormat="1" ht="15" customHeight="1" x14ac:dyDescent="0.2">
      <c r="A13" s="1356" t="s">
        <v>1</v>
      </c>
      <c r="B13" s="1358" t="s">
        <v>351</v>
      </c>
      <c r="C13" s="1359"/>
      <c r="D13" s="1358" t="s">
        <v>353</v>
      </c>
      <c r="E13" s="1359"/>
      <c r="F13" s="1356" t="s">
        <v>352</v>
      </c>
      <c r="G13" s="1358" t="s">
        <v>608</v>
      </c>
      <c r="H13" s="1359"/>
      <c r="I13" s="1351" t="s">
        <v>7</v>
      </c>
      <c r="J13" s="1362"/>
      <c r="K13" s="1362"/>
      <c r="L13" s="1352"/>
      <c r="M13" s="1351" t="s">
        <v>10</v>
      </c>
      <c r="N13" s="1352"/>
      <c r="O13" s="1345" t="s">
        <v>609</v>
      </c>
      <c r="P13" s="1345" t="s">
        <v>414</v>
      </c>
      <c r="Q13" s="1347" t="s">
        <v>610</v>
      </c>
      <c r="R13" s="1348"/>
      <c r="S13" s="1351" t="s">
        <v>383</v>
      </c>
      <c r="T13" s="1352"/>
      <c r="U13" s="1353" t="s">
        <v>384</v>
      </c>
      <c r="V13" s="1354"/>
      <c r="W13" s="1354"/>
      <c r="X13" s="1355"/>
    </row>
    <row r="14" spans="1:26" s="805" customFormat="1" ht="30" customHeight="1" x14ac:dyDescent="0.2">
      <c r="A14" s="1357"/>
      <c r="B14" s="1360"/>
      <c r="C14" s="1361"/>
      <c r="D14" s="1360"/>
      <c r="E14" s="1361"/>
      <c r="F14" s="1357"/>
      <c r="G14" s="1360"/>
      <c r="H14" s="1361"/>
      <c r="I14" s="1349"/>
      <c r="J14" s="1363"/>
      <c r="K14" s="1363"/>
      <c r="L14" s="1350"/>
      <c r="M14" s="1349"/>
      <c r="N14" s="1350"/>
      <c r="O14" s="1346"/>
      <c r="P14" s="1346"/>
      <c r="Q14" s="1349"/>
      <c r="R14" s="1350"/>
      <c r="S14" s="1349"/>
      <c r="T14" s="1350"/>
      <c r="U14" s="1306" t="s">
        <v>385</v>
      </c>
      <c r="V14" s="1306"/>
      <c r="W14" s="728" t="s">
        <v>66</v>
      </c>
      <c r="X14" s="728" t="s">
        <v>386</v>
      </c>
    </row>
    <row r="15" spans="1:26" s="808" customFormat="1" x14ac:dyDescent="0.2">
      <c r="A15" s="730" t="s">
        <v>354</v>
      </c>
      <c r="B15" s="1298" t="s">
        <v>355</v>
      </c>
      <c r="C15" s="1298"/>
      <c r="D15" s="1298" t="s">
        <v>356</v>
      </c>
      <c r="E15" s="1298"/>
      <c r="F15" s="730" t="s">
        <v>357</v>
      </c>
      <c r="G15" s="1298" t="s">
        <v>358</v>
      </c>
      <c r="H15" s="1298"/>
      <c r="I15" s="1364" t="s">
        <v>561</v>
      </c>
      <c r="J15" s="1365"/>
      <c r="K15" s="1365"/>
      <c r="L15" s="1365"/>
      <c r="M15" s="1364" t="s">
        <v>376</v>
      </c>
      <c r="N15" s="1365"/>
      <c r="O15" s="806"/>
      <c r="P15" s="806"/>
      <c r="Q15" s="1364" t="s">
        <v>388</v>
      </c>
      <c r="R15" s="1365"/>
      <c r="S15" s="1364" t="s">
        <v>389</v>
      </c>
      <c r="T15" s="1365"/>
      <c r="U15" s="1364" t="s">
        <v>390</v>
      </c>
      <c r="V15" s="1365"/>
      <c r="W15" s="807" t="s">
        <v>391</v>
      </c>
      <c r="X15" s="807" t="s">
        <v>611</v>
      </c>
    </row>
    <row r="16" spans="1:26" x14ac:dyDescent="0.2">
      <c r="A16" s="1304" t="s">
        <v>360</v>
      </c>
      <c r="B16" s="1208"/>
      <c r="C16" s="1208"/>
      <c r="D16" s="1208"/>
      <c r="E16" s="1208"/>
      <c r="F16" s="1208"/>
      <c r="G16" s="1208"/>
      <c r="H16" s="1208"/>
      <c r="I16" s="1208"/>
      <c r="J16" s="1208"/>
      <c r="K16" s="1208"/>
      <c r="L16" s="1208"/>
      <c r="M16" s="1208"/>
      <c r="N16" s="1208"/>
      <c r="O16" s="1208"/>
      <c r="P16" s="1208"/>
      <c r="Q16" s="1208"/>
      <c r="R16" s="1208"/>
      <c r="S16" s="1208"/>
      <c r="T16" s="1208"/>
      <c r="U16" s="1208"/>
      <c r="V16" s="1208"/>
      <c r="W16" s="1208"/>
      <c r="X16" s="1305"/>
    </row>
    <row r="17" spans="1:24" ht="79.5" customHeight="1" x14ac:dyDescent="0.2">
      <c r="A17" s="502">
        <f>IF('[6]PENETAPAN SKP'!A16="","",'[6]PENETAPAN SKP'!A16)</f>
        <v>1</v>
      </c>
      <c r="B17" s="1111" t="str">
        <f>IF('PENETAPAN SKP'!B16="","",'PENETAPAN SKP'!B16)</f>
        <v>Meningkatnya kualitas penerapan kurikulum dan pola pembelajaran inovatif</v>
      </c>
      <c r="C17" s="1111"/>
      <c r="D17" s="1111" t="str">
        <f>IF('PENETAPAN SKP'!E16="","",'PENETAPAN SKP'!E16)</f>
        <v>Terlaksananya penerapan metode pembelajaran inovatif dalam kurikulum mapel Penjaskes pada kelas VII A-B-C-D, VIII C-D</v>
      </c>
      <c r="E17" s="1111"/>
      <c r="F17" s="510" t="str">
        <f>IF('PENETAPAN SKP'!H16="","",'PENETAPAN SKP'!H16)</f>
        <v>Kuantitas</v>
      </c>
      <c r="G17" s="1111" t="str">
        <f>IF('PENETAPAN SKP'!I16="","",'PENETAPAN SKP'!I16)</f>
        <v>Jumlah dokumen laporan pembelajaran</v>
      </c>
      <c r="H17" s="1111"/>
      <c r="I17" s="809" t="str">
        <f>IF('PENETAPAN SKP'!M16="","",'PENETAPAN SKP'!M16)</f>
        <v/>
      </c>
      <c r="J17" s="810" t="str">
        <f>IF('PENETAPAN SKP'!N16="","",'PENETAPAN SKP'!N16)</f>
        <v/>
      </c>
      <c r="K17" s="810">
        <f>IF('PENETAPAN SKP'!O16="","",'PENETAPAN SKP'!O16)</f>
        <v>1</v>
      </c>
      <c r="L17" s="837" t="str">
        <f>IF('PENETAPAN SKP'!P16="","",'PENETAPAN SKP'!P16)</f>
        <v>dokumen</v>
      </c>
      <c r="M17" s="811">
        <v>1</v>
      </c>
      <c r="N17" s="812" t="str">
        <f>L17</f>
        <v>dokumen</v>
      </c>
      <c r="O17" s="813" t="s">
        <v>15</v>
      </c>
      <c r="P17" s="814" t="s">
        <v>612</v>
      </c>
      <c r="Q17" s="1366">
        <f t="shared" ref="Q17:Q28" si="0">IF(P17="N",M17/K17*100,IF(P17="NP",M17/K17*100,IF(P17="NM",M17/I17*100,IF(P17="R",100,IF(P17="K",(1+(1-(M17/K17)))*100,IF(P17="KP",(1+(1-(M17/K17)))*100,IF(P17="KM",(1+(1-(M17/I17)))*100,"-")))))))</f>
        <v>100</v>
      </c>
      <c r="R17" s="1366"/>
      <c r="S17" s="1321" t="str">
        <f t="shared" ref="S17:S28" si="1">IF(((Q17=100)*AND(Q17=K17)),"(Sangat Baik)",IF(Q17&lt;=59,"(Sangat Kurang)",IF(Q17&lt;=79,"(Kurang)",IF(Q17&lt;=99,"(Cukup)",IF(Q17=100,"(Baik)","(Sangat Baik)")))))</f>
        <v>(Baik)</v>
      </c>
      <c r="T17" s="1321"/>
      <c r="U17" s="1324" t="str">
        <f>IF(OR((COUNTIF(S17:T19,"(Sangat Baik)")=3),((COUNTIF(S17:T19,"(Sangat Baik)")=2)*AND(COUNTIF(S17:T19,"(Baik)")=1))),"(Sangat Baik)",
IF(OR((COUNTIF(S17:T19,"(Baik)")=3),((COUNTIF(S17:T19,"(Baik)")=2)*AND(COUNTIF(S17:T19,"(Sangat Baik)")=1)),((COUNTIF(S17:T19,"(Baik)")=2)*AND(COUNTIF(S17:T19,"(Cukup)")=1)),((COUNTIF(S17:T19,"(Sangat Baik)")=2)*AND(COUNTIF(S17:T19,"(Cukup)")=1)),((COUNTIF(S17:T19,"(Sangat Baik)")=1)*AND(COUNTIF(S17:T19,"(Baik)")=1)*AND(COUNTIF(S17:T19,"(Cukup)")=1))),"(Baik)",
IF(OR((COUNTIF(S17:T19,"(Cukup)")=3),((COUNTIF(S17:T19,"(Cukup)")=2)*AND(COUNTIF(S17:T19,"(Baik)")=1)),((COUNTIF(S17:T19,"(Cukup)")=2)*AND(COUNTIF(S17:T19,"(Sangat Baik)")=1)),((COUNTIF(S17:T19,"(Cukup)")=2)*AND(COUNTIF(S17:T19,"(Kurang)")=1)),((COUNTIF(S17:T19,"(Baik)")=2)*AND(COUNTIF(S17:T19,"(Kurang)")=1)),((COUNTIF(S17:T19,"(Sangat Baik)")=2)*AND(COUNTIF(S17:T19,"(Kurang)")=1)),((COUNTIF(S17:T19,"(Sangat Baik)")=1)*AND(COUNTIF(S17:T19,"(Baik)")=1)*AND(COUNTIF(S17:T19,"(Kurang)")=1)),((COUNTIF(S17:T19,"(Sangat Baik)")=1)*AND(COUNTIF(S17:T19,"(Cukup)")=1)*AND(COUNTIF(S17:T19,"(Kurang)")=1)),((COUNTIF(S17:T19,"(Baik)")=1)*AND(COUNTIF(S17:T19,"(Cukup)")=1)*AND(COUNTIF(S17:T19,"(Kurang)")=1))),"(Cukup)",
IF(OR((COUNTIF(S17:T19,"(Kurang)")=3),((COUNTIF(S17:T19,"(Kurang)")=2)*AND(COUNTIF(S17:T19,"(Cukup)")=1)),((COUNTIF(S17:T19,"(Kurang)")=2)*AND(COUNTIF(S17:T19,"(Baik)")=1)),((COUNTIF(S17:T19,"(Kurang)")=2)*AND(COUNTIF(S17:T19,"(Sangat Baik)")=1)),((COUNTIF(S17:T19,"(Kurang)")=2)*AND(COUNTIF(S17:T19,"(Sangat Kurang)")=1)),((COUNTIF(S17:T19,"(Cukup)")=2)*AND(COUNTIF(S17:T19,"(Sangat Kurang)")=1)),((COUNTIF(S17:T19,"(Baik)")=2)*AND(COUNTIF(S17:T19,"(Sangat Kurang)")=1)),((COUNTIF(S17:T19,"(Sangat Baik)")=2)*AND(COUNTIF(S17:T19,"(Sangat Kurang)")=1)),((COUNTIF(S17:T19,"(Sangat Baik)")=1)*AND(COUNTIF(S17:T19,"(Baik)")=1)*AND(COUNTIF(S17:T19,"(Sangat Kurang)")=1)),((COUNTIF(S17:T19,"(Sangat Baik)")=1)*AND(COUNTIF(S17:T19,"(Cukup)")=1)*AND(COUNTIF(S17:T19,"(Sangat Kurang)")=1)),((COUNTIF(S17:T19,"(Sangat Baik)")=1)*AND(COUNTIF(S17:T19,"(Kurang)")=1)*AND(COUNTIF(S17:T19,"(Sangat Kurang)")=1)),((COUNTIF(S17:T19,"(Baik)")=1)*AND(COUNTIF(S17:T19,"(Cukup)")=1)*AND(COUNTIF(S17:T19,"(Sangat Kurang)")=1)),((COUNTIF(S17:T19,"(Baik)")=1)*AND(COUNTIF(S17:T19,"(Kurang)")=1)*AND(COUNTIF(S17:T19,"(Sangat Kurang)")=1)),((COUNTIF(S17:T19,"(Cukup)")=1)*AND(COUNTIF(S17:T19,"(Kurang)")=1)*AND(COUNTIF(S17:T19,"(Sangat Kurang)")=1)),((COUNTIF(S17:T19,"(Sangat Baik)")=1)*AND(COUNTIF(S17:T19,"(Kurang)")=1)*AND(COUNTIF(S17:T19,"(Sangat Kurang)")=1)),((COUNTIF(S17:T19,"(Sangat Baik)")=1)*AND(COUNTIF(S17:T19,"(Sangat Baik)")=1)*AND(COUNTIF(S17:T19,"(Sangat Kurang)")=1))),"(Kurang)","(Sangat Kurang)"))))</f>
        <v>(Baik)</v>
      </c>
      <c r="V17" s="1325"/>
      <c r="W17" s="1330">
        <f>IF(U17="(Sangat Baik)",120,IF(U17="(Baik)",100,IF(U17="(Cukup)",80,IF(U17="(Kurang)",60,25))))</f>
        <v>100</v>
      </c>
      <c r="X17" s="1333">
        <f>W17</f>
        <v>100</v>
      </c>
    </row>
    <row r="18" spans="1:24" ht="45" customHeight="1" x14ac:dyDescent="0.2">
      <c r="A18" s="952" t="str">
        <f>IF('[6]PENETAPAN SKP'!A17="","",'[6]PENETAPAN SKP'!A17)</f>
        <v/>
      </c>
      <c r="B18" s="1111" t="str">
        <f>IF('PENETAPAN SKP'!B17="","",'PENETAPAN SKP'!B17)</f>
        <v/>
      </c>
      <c r="C18" s="1111"/>
      <c r="D18" s="1111" t="str">
        <f>IF('PENETAPAN SKP'!E17="","",'PENETAPAN SKP'!E17)</f>
        <v/>
      </c>
      <c r="E18" s="1111"/>
      <c r="F18" s="510" t="str">
        <f>IF('PENETAPAN SKP'!H17="","",'PENETAPAN SKP'!H17)</f>
        <v xml:space="preserve">Kualitas </v>
      </c>
      <c r="G18" s="1111" t="str">
        <f>IF('PENETAPAN SKP'!I17="","",'PENETAPAN SKP'!I17)</f>
        <v>Tingkat penerapan pembelajaran inovatif</v>
      </c>
      <c r="H18" s="1111"/>
      <c r="I18" s="809">
        <f>IF('PENETAPAN SKP'!M17="","",'PENETAPAN SKP'!M17)</f>
        <v>80</v>
      </c>
      <c r="J18" s="810" t="str">
        <f>IF('PENETAPAN SKP'!N17="","",'PENETAPAN SKP'!N17)</f>
        <v>-</v>
      </c>
      <c r="K18" s="810">
        <f>IF('PENETAPAN SKP'!O17="","",'PENETAPAN SKP'!O17)</f>
        <v>90</v>
      </c>
      <c r="L18" s="837" t="str">
        <f>IF('PENETAPAN SKP'!P17="","",'PENETAPAN SKP'!P17)</f>
        <v>persen</v>
      </c>
      <c r="M18" s="811">
        <v>90</v>
      </c>
      <c r="N18" s="812" t="str">
        <f>L18</f>
        <v>persen</v>
      </c>
      <c r="O18" s="813" t="s">
        <v>15</v>
      </c>
      <c r="P18" s="814" t="s">
        <v>613</v>
      </c>
      <c r="Q18" s="1322">
        <f t="shared" si="0"/>
        <v>100</v>
      </c>
      <c r="R18" s="1323"/>
      <c r="S18" s="1321" t="str">
        <f t="shared" si="1"/>
        <v>(Baik)</v>
      </c>
      <c r="T18" s="1321"/>
      <c r="U18" s="1326"/>
      <c r="V18" s="1327"/>
      <c r="W18" s="1331"/>
      <c r="X18" s="1334"/>
    </row>
    <row r="19" spans="1:24" ht="45" customHeight="1" x14ac:dyDescent="0.2">
      <c r="A19" s="952" t="str">
        <f>IF('[6]PENETAPAN SKP'!A18="","",'[6]PENETAPAN SKP'!A18)</f>
        <v/>
      </c>
      <c r="B19" s="1111" t="str">
        <f>IF('PENETAPAN SKP'!B18="","",'PENETAPAN SKP'!B18)</f>
        <v/>
      </c>
      <c r="C19" s="1111"/>
      <c r="D19" s="1111" t="str">
        <f>IF('PENETAPAN SKP'!E18="","",'PENETAPAN SKP'!E18)</f>
        <v/>
      </c>
      <c r="E19" s="1111"/>
      <c r="F19" s="510" t="str">
        <f>IF('PENETAPAN SKP'!H18="","",'PENETAPAN SKP'!H18)</f>
        <v xml:space="preserve">Waktu </v>
      </c>
      <c r="G19" s="1111" t="str">
        <f>IF('PENETAPAN SKP'!I18="","",'PENETAPAN SKP'!I18)</f>
        <v>Waktu pelaksanaan pembelajaran</v>
      </c>
      <c r="H19" s="1111"/>
      <c r="I19" s="809" t="str">
        <f>IF('PENETAPAN SKP'!M18="","",'PENETAPAN SKP'!M18)</f>
        <v/>
      </c>
      <c r="J19" s="810" t="str">
        <f>IF('PENETAPAN SKP'!N18="","",'PENETAPAN SKP'!N18)</f>
        <v/>
      </c>
      <c r="K19" s="810">
        <f>IF('PENETAPAN SKP'!O18="","",'PENETAPAN SKP'!O18)</f>
        <v>6</v>
      </c>
      <c r="L19" s="837" t="str">
        <f>IF('PENETAPAN SKP'!P18="","",'PENETAPAN SKP'!P18)</f>
        <v>bulan</v>
      </c>
      <c r="M19" s="811">
        <v>6</v>
      </c>
      <c r="N19" s="812" t="str">
        <f>L19</f>
        <v>bulan</v>
      </c>
      <c r="O19" s="813" t="s">
        <v>15</v>
      </c>
      <c r="P19" s="814" t="s">
        <v>612</v>
      </c>
      <c r="Q19" s="1322">
        <f t="shared" si="0"/>
        <v>100</v>
      </c>
      <c r="R19" s="1323"/>
      <c r="S19" s="1321" t="str">
        <f t="shared" si="1"/>
        <v>(Baik)</v>
      </c>
      <c r="T19" s="1321"/>
      <c r="U19" s="1328"/>
      <c r="V19" s="1329"/>
      <c r="W19" s="1332"/>
      <c r="X19" s="1334"/>
    </row>
    <row r="20" spans="1:24" ht="62.25" customHeight="1" x14ac:dyDescent="0.2">
      <c r="A20" s="502">
        <f>IF('[6]PENETAPAN SKP'!A19="","",'[6]PENETAPAN SKP'!A19)</f>
        <v>2</v>
      </c>
      <c r="B20" s="1111" t="str">
        <f>IF('PENETAPAN SKP'!B19="","",'PENETAPAN SKP'!B19)</f>
        <v>Meningkatnya kualitas penilaian pendidikan</v>
      </c>
      <c r="C20" s="1111"/>
      <c r="D20" s="1111" t="str">
        <f>IF('PENETAPAN SKP'!E19="","",'PENETAPAN SKP'!E19)</f>
        <v>Terlaksananya pembelajaran mapel Penjaskes pada kelas VII A-B-C-D, VIII C-D yang menggunakan bahan belajar berbasis TIK untuk e-pembelajaran</v>
      </c>
      <c r="E20" s="1111"/>
      <c r="F20" s="510" t="str">
        <f>IF('PENETAPAN SKP'!H19="","",'PENETAPAN SKP'!H19)</f>
        <v>Kuantitas</v>
      </c>
      <c r="G20" s="1111" t="str">
        <f>IF('PENETAPAN SKP'!I19="","",'PENETAPAN SKP'!I19)</f>
        <v>Jumlah dokumen laporan pembelajaran</v>
      </c>
      <c r="H20" s="1111"/>
      <c r="I20" s="809" t="str">
        <f>IF('PENETAPAN SKP'!M19="","",'PENETAPAN SKP'!M19)</f>
        <v/>
      </c>
      <c r="J20" s="810" t="str">
        <f>IF('PENETAPAN SKP'!N19="","",'PENETAPAN SKP'!N19)</f>
        <v/>
      </c>
      <c r="K20" s="810">
        <f>IF('PENETAPAN SKP'!O19="","",'PENETAPAN SKP'!O19)</f>
        <v>1</v>
      </c>
      <c r="L20" s="837" t="str">
        <f>IF('PENETAPAN SKP'!P19="","",'PENETAPAN SKP'!P19)</f>
        <v>dokumen</v>
      </c>
      <c r="M20" s="811">
        <v>1</v>
      </c>
      <c r="N20" s="812" t="str">
        <f t="shared" ref="N20:N28" si="2">L20</f>
        <v>dokumen</v>
      </c>
      <c r="O20" s="813" t="s">
        <v>15</v>
      </c>
      <c r="P20" s="814" t="s">
        <v>612</v>
      </c>
      <c r="Q20" s="1322">
        <f t="shared" si="0"/>
        <v>100</v>
      </c>
      <c r="R20" s="1323"/>
      <c r="S20" s="1321" t="str">
        <f t="shared" si="1"/>
        <v>(Baik)</v>
      </c>
      <c r="T20" s="1321"/>
      <c r="U20" s="1324" t="str">
        <f>IF(OR((COUNTIF(S20:T22,"(Sangat Baik)")=3),((COUNTIF(S20:T22,"(Sangat Baik)")=2)*AND(COUNTIF(S20:T22,"(Baik)")=1))),"(Sangat Baik)",
IF(OR((COUNTIF(S20:T22,"(Baik)")=3),((COUNTIF(S20:T22,"(Baik)")=2)*AND(COUNTIF(S20:T22,"(Sangat Baik)")=1)),((COUNTIF(S20:T22,"(Baik)")=2)*AND(COUNTIF(S20:T22,"(Cukup)")=1)),((COUNTIF(S20:T22,"(Sangat Baik)")=2)*AND(COUNTIF(S20:T22,"(Cukup)")=1)),((COUNTIF(S20:T22,"(Sangat Baik)")=1)*AND(COUNTIF(S20:T22,"(Baik)")=1)*AND(COUNTIF(S20:T22,"(Cukup)")=1))),"(Baik)",
IF(OR((COUNTIF(S20:T22,"(Cukup)")=3),((COUNTIF(S20:T22,"(Cukup)")=2)*AND(COUNTIF(S20:T22,"(Baik)")=1)),((COUNTIF(S20:T22,"(Cukup)")=2)*AND(COUNTIF(S20:T22,"(Sangat Baik)")=1)),((COUNTIF(S20:T22,"(Cukup)")=2)*AND(COUNTIF(S20:T22,"(Kurang)")=1)),((COUNTIF(S20:T22,"(Baik)")=2)*AND(COUNTIF(S20:T22,"(Kurang)")=1)),((COUNTIF(S20:T22,"(Sangat Baik)")=2)*AND(COUNTIF(S20:T22,"(Kurang)")=1)),((COUNTIF(S20:T22,"(Sangat Baik)")=1)*AND(COUNTIF(S20:T22,"(Baik)")=1)*AND(COUNTIF(S20:T22,"(Kurang)")=1)),((COUNTIF(S20:T22,"(Sangat Baik)")=1)*AND(COUNTIF(S20:T22,"(Cukup)")=1)*AND(COUNTIF(S20:T22,"(Kurang)")=1)),((COUNTIF(S20:T22,"(Baik)")=1)*AND(COUNTIF(S20:T22,"(Cukup)")=1)*AND(COUNTIF(S20:T22,"(Kurang)")=1))),"(Cukup)",
IF(OR((COUNTIF(S20:T22,"(Kurang)")=3),((COUNTIF(S20:T22,"(Kurang)")=2)*AND(COUNTIF(S20:T22,"(Cukup)")=1)),((COUNTIF(S20:T22,"(Kurang)")=2)*AND(COUNTIF(S20:T22,"(Baik)")=1)),((COUNTIF(S20:T22,"(Kurang)")=2)*AND(COUNTIF(S20:T22,"(Sangat Baik)")=1)),((COUNTIF(S20:T22,"(Kurang)")=2)*AND(COUNTIF(S20:T22,"(Sangat Kurang)")=1)),((COUNTIF(S20:T22,"(Cukup)")=2)*AND(COUNTIF(S20:T22,"(Sangat Kurang)")=1)),((COUNTIF(S20:T22,"(Baik)")=2)*AND(COUNTIF(S20:T22,"(Sangat Kurang)")=1)),((COUNTIF(S20:T22,"(Sangat Baik)")=2)*AND(COUNTIF(S20:T22,"(Sangat Kurang)")=1)),((COUNTIF(S20:T22,"(Sangat Baik)")=1)*AND(COUNTIF(S20:T22,"(Baik)")=1)*AND(COUNTIF(S20:T22,"(Sangat Kurang)")=1)),((COUNTIF(S20:T22,"(Sangat Baik)")=1)*AND(COUNTIF(S20:T22,"(Cukup)")=1)*AND(COUNTIF(S20:T22,"(Sangat Kurang)")=1)),((COUNTIF(S20:T22,"(Sangat Baik)")=1)*AND(COUNTIF(S20:T22,"(Kurang)")=1)*AND(COUNTIF(S20:T22,"(Sangat Kurang)")=1)),((COUNTIF(S20:T22,"(Baik)")=1)*AND(COUNTIF(S20:T22,"(Cukup)")=1)*AND(COUNTIF(S20:T22,"(Sangat Kurang)")=1)),((COUNTIF(S20:T22,"(Baik)")=1)*AND(COUNTIF(S20:T22,"(Kurang)")=1)*AND(COUNTIF(S20:T22,"(Sangat Kurang)")=1)),((COUNTIF(S20:T22,"(Cukup)")=1)*AND(COUNTIF(S20:T22,"(Kurang)")=1)*AND(COUNTIF(S20:T22,"(Sangat Kurang)")=1)),((COUNTIF(S20:T22,"(Sangat Baik)")=1)*AND(COUNTIF(S20:T22,"(Kurang)")=1)*AND(COUNTIF(S20:T22,"(Sangat Kurang)")=1)),((COUNTIF(S20:T22,"(Sangat Baik)")=1)*AND(COUNTIF(S20:T22,"(Sangat Baik)")=1)*AND(COUNTIF(S20:T22,"(Sangat Kurang)")=1))),"(Kurang)","(Sangat Kurang)"))))</f>
        <v>(Baik)</v>
      </c>
      <c r="V20" s="1325"/>
      <c r="W20" s="1330">
        <f>IF(U20="(Sangat Baik)",120,IF(U20="(Baik)",100,IF(U20="(Cukup)",80,IF(U20="(Kurang)",60,25))))</f>
        <v>100</v>
      </c>
      <c r="X20" s="1333">
        <f>W20</f>
        <v>100</v>
      </c>
    </row>
    <row r="21" spans="1:24" ht="45" customHeight="1" x14ac:dyDescent="0.2">
      <c r="A21" s="952" t="str">
        <f>IF('[6]PENETAPAN SKP'!A20="","",'[6]PENETAPAN SKP'!A20)</f>
        <v/>
      </c>
      <c r="B21" s="1111" t="str">
        <f>IF('PENETAPAN SKP'!B20="","",'PENETAPAN SKP'!B20)</f>
        <v/>
      </c>
      <c r="C21" s="1111"/>
      <c r="D21" s="1111" t="str">
        <f>IF('PENETAPAN SKP'!E20="","",'PENETAPAN SKP'!E20)</f>
        <v/>
      </c>
      <c r="E21" s="1111"/>
      <c r="F21" s="510" t="str">
        <f>IF('PENETAPAN SKP'!H20="","",'PENETAPAN SKP'!H20)</f>
        <v xml:space="preserve">Kualitas </v>
      </c>
      <c r="G21" s="1111" t="str">
        <f>IF('PENETAPAN SKP'!I20="","",'PENETAPAN SKP'!I20)</f>
        <v>Tingkat penerapan pembelajaran berbasis TIK</v>
      </c>
      <c r="H21" s="1111"/>
      <c r="I21" s="809">
        <f>IF('PENETAPAN SKP'!M20="","",'PENETAPAN SKP'!M20)</f>
        <v>80</v>
      </c>
      <c r="J21" s="810" t="str">
        <f>IF('PENETAPAN SKP'!N20="","",'PENETAPAN SKP'!N20)</f>
        <v>-</v>
      </c>
      <c r="K21" s="810">
        <f>IF('PENETAPAN SKP'!O20="","",'PENETAPAN SKP'!O20)</f>
        <v>90</v>
      </c>
      <c r="L21" s="837" t="str">
        <f>IF('PENETAPAN SKP'!P20="","",'PENETAPAN SKP'!P20)</f>
        <v>persen</v>
      </c>
      <c r="M21" s="811">
        <v>90</v>
      </c>
      <c r="N21" s="812" t="str">
        <f t="shared" si="2"/>
        <v>persen</v>
      </c>
      <c r="O21" s="813" t="s">
        <v>15</v>
      </c>
      <c r="P21" s="814" t="s">
        <v>613</v>
      </c>
      <c r="Q21" s="1322">
        <f t="shared" si="0"/>
        <v>100</v>
      </c>
      <c r="R21" s="1323"/>
      <c r="S21" s="1321" t="str">
        <f t="shared" si="1"/>
        <v>(Baik)</v>
      </c>
      <c r="T21" s="1321"/>
      <c r="U21" s="1326"/>
      <c r="V21" s="1327"/>
      <c r="W21" s="1331"/>
      <c r="X21" s="1334"/>
    </row>
    <row r="22" spans="1:24" ht="45" customHeight="1" x14ac:dyDescent="0.2">
      <c r="A22" s="952" t="str">
        <f>IF('[6]PENETAPAN SKP'!A21="","",'[6]PENETAPAN SKP'!A21)</f>
        <v/>
      </c>
      <c r="B22" s="1111" t="str">
        <f>IF('PENETAPAN SKP'!B21="","",'PENETAPAN SKP'!B21)</f>
        <v/>
      </c>
      <c r="C22" s="1111"/>
      <c r="D22" s="1111" t="str">
        <f>IF('PENETAPAN SKP'!E21="","",'PENETAPAN SKP'!E21)</f>
        <v/>
      </c>
      <c r="E22" s="1111"/>
      <c r="F22" s="510" t="str">
        <f>IF('PENETAPAN SKP'!H21="","",'PENETAPAN SKP'!H21)</f>
        <v xml:space="preserve">Waktu </v>
      </c>
      <c r="G22" s="1111" t="str">
        <f>IF('PENETAPAN SKP'!I21="","",'PENETAPAN SKP'!I21)</f>
        <v>Waktu pelaksanaan pembelajaran</v>
      </c>
      <c r="H22" s="1111"/>
      <c r="I22" s="809" t="str">
        <f>IF('PENETAPAN SKP'!M21="","",'PENETAPAN SKP'!M21)</f>
        <v/>
      </c>
      <c r="J22" s="810" t="str">
        <f>IF('PENETAPAN SKP'!N21="","",'PENETAPAN SKP'!N21)</f>
        <v/>
      </c>
      <c r="K22" s="810">
        <f>IF('PENETAPAN SKP'!O21="","",'PENETAPAN SKP'!O21)</f>
        <v>6</v>
      </c>
      <c r="L22" s="837" t="str">
        <f>IF('PENETAPAN SKP'!P21="","",'PENETAPAN SKP'!P21)</f>
        <v>bulan</v>
      </c>
      <c r="M22" s="811">
        <v>6</v>
      </c>
      <c r="N22" s="812" t="str">
        <f t="shared" si="2"/>
        <v>bulan</v>
      </c>
      <c r="O22" s="813" t="s">
        <v>15</v>
      </c>
      <c r="P22" s="814" t="s">
        <v>612</v>
      </c>
      <c r="Q22" s="1322">
        <f t="shared" si="0"/>
        <v>100</v>
      </c>
      <c r="R22" s="1323"/>
      <c r="S22" s="1321" t="str">
        <f t="shared" si="1"/>
        <v>(Baik)</v>
      </c>
      <c r="T22" s="1321"/>
      <c r="U22" s="1328"/>
      <c r="V22" s="1329"/>
      <c r="W22" s="1332"/>
      <c r="X22" s="1334"/>
    </row>
    <row r="23" spans="1:24" ht="66" customHeight="1" x14ac:dyDescent="0.2">
      <c r="A23" s="502">
        <f>IF('[6]PENETAPAN SKP'!A22="","",'[6]PENETAPAN SKP'!A22)</f>
        <v>3</v>
      </c>
      <c r="B23" s="1111" t="str">
        <f>IF('PENETAPAN SKP'!B22="","",'PENETAPAN SKP'!B22)</f>
        <v xml:space="preserve">Meningkatnya penerapan teknologi informasi dan komunikasi dalam sistem pembelajaran </v>
      </c>
      <c r="C23" s="1111"/>
      <c r="D23" s="1111" t="str">
        <f>IF('PENETAPAN SKP'!E22="","",'PENETAPAN SKP'!E22)</f>
        <v>Tersedianya bahan ajar mapel Penjaskes  pada kelas VII  A-B-C-D, VIII C-D  yang mengintegrasikan pendidikan karakter sesuai kurikulum madrasah</v>
      </c>
      <c r="E23" s="1111"/>
      <c r="F23" s="510" t="str">
        <f>IF('PENETAPAN SKP'!H22="","",'PENETAPAN SKP'!H22)</f>
        <v>Kuantitas</v>
      </c>
      <c r="G23" s="1111" t="str">
        <f>IF('PENETAPAN SKP'!I22="","",'PENETAPAN SKP'!I22)</f>
        <v>Jumlah dokumen laporan pembelajaran</v>
      </c>
      <c r="H23" s="1111"/>
      <c r="I23" s="809" t="str">
        <f>IF('PENETAPAN SKP'!M22="","",'PENETAPAN SKP'!M22)</f>
        <v/>
      </c>
      <c r="J23" s="810" t="str">
        <f>IF('PENETAPAN SKP'!N22="","",'PENETAPAN SKP'!N22)</f>
        <v/>
      </c>
      <c r="K23" s="810">
        <f>IF('PENETAPAN SKP'!O22="","",'PENETAPAN SKP'!O22)</f>
        <v>1</v>
      </c>
      <c r="L23" s="837" t="str">
        <f>IF('PENETAPAN SKP'!P22="","",'PENETAPAN SKP'!P22)</f>
        <v>dokumen</v>
      </c>
      <c r="M23" s="811">
        <v>1</v>
      </c>
      <c r="N23" s="812" t="str">
        <f t="shared" si="2"/>
        <v>dokumen</v>
      </c>
      <c r="O23" s="813" t="s">
        <v>15</v>
      </c>
      <c r="P23" s="814" t="s">
        <v>612</v>
      </c>
      <c r="Q23" s="1322">
        <f t="shared" si="0"/>
        <v>100</v>
      </c>
      <c r="R23" s="1323"/>
      <c r="S23" s="1321" t="str">
        <f t="shared" si="1"/>
        <v>(Baik)</v>
      </c>
      <c r="T23" s="1321"/>
      <c r="U23" s="1324" t="str">
        <f>IF(OR((COUNTIF(S23:T25,"(Sangat Baik)")=3),((COUNTIF(S23:T25,"(Sangat Baik)")=2)*AND(COUNTIF(S23:T25,"(Baik)")=1))),"(Sangat Baik)",
IF(OR((COUNTIF(S23:T25,"(Baik)")=3),((COUNTIF(S23:T25,"(Baik)")=2)*AND(COUNTIF(S23:T25,"(Sangat Baik)")=1)),((COUNTIF(S23:T25,"(Baik)")=2)*AND(COUNTIF(S23:T25,"(Cukup)")=1)),((COUNTIF(S23:T25,"(Sangat Baik)")=2)*AND(COUNTIF(S23:T25,"(Cukup)")=1)),((COUNTIF(S23:T25,"(Sangat Baik)")=1)*AND(COUNTIF(S23:T25,"(Baik)")=1)*AND(COUNTIF(S23:T25,"(Cukup)")=1))),"(Baik)",
IF(OR((COUNTIF(S23:T25,"(Cukup)")=3),((COUNTIF(S23:T25,"(Cukup)")=2)*AND(COUNTIF(S23:T25,"(Baik)")=1)),((COUNTIF(S23:T25,"(Cukup)")=2)*AND(COUNTIF(S23:T25,"(Sangat Baik)")=1)),((COUNTIF(S23:T25,"(Cukup)")=2)*AND(COUNTIF(S23:T25,"(Kurang)")=1)),((COUNTIF(S23:T25,"(Baik)")=2)*AND(COUNTIF(S23:T25,"(Kurang)")=1)),((COUNTIF(S23:T25,"(Sangat Baik)")=2)*AND(COUNTIF(S23:T25,"(Kurang)")=1)),((COUNTIF(S23:T25,"(Sangat Baik)")=1)*AND(COUNTIF(S23:T25,"(Baik)")=1)*AND(COUNTIF(S23:T25,"(Kurang)")=1)),((COUNTIF(S23:T25,"(Sangat Baik)")=1)*AND(COUNTIF(S23:T25,"(Cukup)")=1)*AND(COUNTIF(S23:T25,"(Kurang)")=1)),((COUNTIF(S23:T25,"(Baik)")=1)*AND(COUNTIF(S23:T25,"(Cukup)")=1)*AND(COUNTIF(S23:T25,"(Kurang)")=1))),"(Cukup)",
IF(OR((COUNTIF(S23:T25,"(Kurang)")=3),((COUNTIF(S23:T25,"(Kurang)")=2)*AND(COUNTIF(S23:T25,"(Cukup)")=1)),((COUNTIF(S23:T25,"(Kurang)")=2)*AND(COUNTIF(S23:T25,"(Baik)")=1)),((COUNTIF(S23:T25,"(Kurang)")=2)*AND(COUNTIF(S23:T25,"(Sangat Baik)")=1)),((COUNTIF(S23:T25,"(Kurang)")=2)*AND(COUNTIF(S23:T25,"(Sangat Kurang)")=1)),((COUNTIF(S23:T25,"(Cukup)")=2)*AND(COUNTIF(S23:T25,"(Sangat Kurang)")=1)),((COUNTIF(S23:T25,"(Baik)")=2)*AND(COUNTIF(S23:T25,"(Sangat Kurang)")=1)),((COUNTIF(S23:T25,"(Sangat Baik)")=2)*AND(COUNTIF(S23:T25,"(Sangat Kurang)")=1)),((COUNTIF(S23:T25,"(Sangat Baik)")=1)*AND(COUNTIF(S23:T25,"(Baik)")=1)*AND(COUNTIF(S23:T25,"(Sangat Kurang)")=1)),((COUNTIF(S23:T25,"(Sangat Baik)")=1)*AND(COUNTIF(S23:T25,"(Cukup)")=1)*AND(COUNTIF(S23:T25,"(Sangat Kurang)")=1)),((COUNTIF(S23:T25,"(Sangat Baik)")=1)*AND(COUNTIF(S23:T25,"(Kurang)")=1)*AND(COUNTIF(S23:T25,"(Sangat Kurang)")=1)),((COUNTIF(S23:T25,"(Baik)")=1)*AND(COUNTIF(S23:T25,"(Cukup)")=1)*AND(COUNTIF(S23:T25,"(Sangat Kurang)")=1)),((COUNTIF(S23:T25,"(Baik)")=1)*AND(COUNTIF(S23:T25,"(Kurang)")=1)*AND(COUNTIF(S23:T25,"(Sangat Kurang)")=1)),((COUNTIF(S23:T25,"(Cukup)")=1)*AND(COUNTIF(S23:T25,"(Kurang)")=1)*AND(COUNTIF(S23:T25,"(Sangat Kurang)")=1)),((COUNTIF(S23:T25,"(Sangat Baik)")=1)*AND(COUNTIF(S23:T25,"(Kurang)")=1)*AND(COUNTIF(S23:T25,"(Sangat Kurang)")=1)),((COUNTIF(S23:T25,"(Sangat Baik)")=1)*AND(COUNTIF(S23:T25,"(Sangat Baik)")=1)*AND(COUNTIF(S23:T25,"(Sangat Kurang)")=1))),"(Kurang)","(Sangat Kurang)"))))</f>
        <v>(Baik)</v>
      </c>
      <c r="V23" s="1325"/>
      <c r="W23" s="1330">
        <f>IF(U23="(Sangat Baik)",120,IF(U23="(Baik)",100,IF(U23="(Cukup)",80,IF(U23="(Kurang)",60,25))))</f>
        <v>100</v>
      </c>
      <c r="X23" s="1333">
        <f>W23</f>
        <v>100</v>
      </c>
    </row>
    <row r="24" spans="1:24" ht="45" customHeight="1" x14ac:dyDescent="0.2">
      <c r="A24" s="952" t="str">
        <f>IF('[6]PENETAPAN SKP'!A23="","",'[6]PENETAPAN SKP'!A23)</f>
        <v/>
      </c>
      <c r="B24" s="1111" t="str">
        <f>IF('PENETAPAN SKP'!B23="","",'PENETAPAN SKP'!B23)</f>
        <v/>
      </c>
      <c r="C24" s="1111"/>
      <c r="D24" s="1111" t="str">
        <f>IF('PENETAPAN SKP'!E23="","",'PENETAPAN SKP'!E23)</f>
        <v/>
      </c>
      <c r="E24" s="1111"/>
      <c r="F24" s="510" t="str">
        <f>IF('PENETAPAN SKP'!H23="","",'PENETAPAN SKP'!H23)</f>
        <v xml:space="preserve">Kualitas </v>
      </c>
      <c r="G24" s="1111" t="str">
        <f>IF('PENETAPAN SKP'!I23="","",'PENETAPAN SKP'!I23)</f>
        <v>Tingkat penerapan pembelajaran karakter</v>
      </c>
      <c r="H24" s="1111"/>
      <c r="I24" s="809">
        <f>IF('PENETAPAN SKP'!M23="","",'PENETAPAN SKP'!M23)</f>
        <v>80</v>
      </c>
      <c r="J24" s="810" t="str">
        <f>IF('PENETAPAN SKP'!N23="","",'PENETAPAN SKP'!N23)</f>
        <v>-</v>
      </c>
      <c r="K24" s="810">
        <f>IF('PENETAPAN SKP'!O23="","",'PENETAPAN SKP'!O23)</f>
        <v>90</v>
      </c>
      <c r="L24" s="837" t="str">
        <f>IF('PENETAPAN SKP'!P23="","",'PENETAPAN SKP'!P23)</f>
        <v>persen</v>
      </c>
      <c r="M24" s="811">
        <v>90</v>
      </c>
      <c r="N24" s="812" t="str">
        <f t="shared" si="2"/>
        <v>persen</v>
      </c>
      <c r="O24" s="813" t="s">
        <v>15</v>
      </c>
      <c r="P24" s="814" t="s">
        <v>613</v>
      </c>
      <c r="Q24" s="1322">
        <f t="shared" si="0"/>
        <v>100</v>
      </c>
      <c r="R24" s="1323"/>
      <c r="S24" s="1321" t="str">
        <f t="shared" si="1"/>
        <v>(Baik)</v>
      </c>
      <c r="T24" s="1321"/>
      <c r="U24" s="1326"/>
      <c r="V24" s="1327"/>
      <c r="W24" s="1331"/>
      <c r="X24" s="1334"/>
    </row>
    <row r="25" spans="1:24" ht="45" customHeight="1" x14ac:dyDescent="0.2">
      <c r="A25" s="952" t="str">
        <f>IF('[6]PENETAPAN SKP'!A24="","",'[6]PENETAPAN SKP'!A24)</f>
        <v/>
      </c>
      <c r="B25" s="1111" t="str">
        <f>IF('PENETAPAN SKP'!B24="","",'PENETAPAN SKP'!B24)</f>
        <v/>
      </c>
      <c r="C25" s="1111"/>
      <c r="D25" s="1111" t="str">
        <f>IF('PENETAPAN SKP'!E24="","",'PENETAPAN SKP'!E24)</f>
        <v/>
      </c>
      <c r="E25" s="1111"/>
      <c r="F25" s="510" t="str">
        <f>IF('PENETAPAN SKP'!H24="","",'PENETAPAN SKP'!H24)</f>
        <v xml:space="preserve">Waktu </v>
      </c>
      <c r="G25" s="1111" t="str">
        <f>IF('PENETAPAN SKP'!I24="","",'PENETAPAN SKP'!I24)</f>
        <v>Waktu pelaksanaan pembelajaran</v>
      </c>
      <c r="H25" s="1111"/>
      <c r="I25" s="809" t="str">
        <f>IF('PENETAPAN SKP'!M24="","",'PENETAPAN SKP'!M24)</f>
        <v/>
      </c>
      <c r="J25" s="810" t="str">
        <f>IF('PENETAPAN SKP'!N24="","",'PENETAPAN SKP'!N24)</f>
        <v/>
      </c>
      <c r="K25" s="810">
        <f>IF('PENETAPAN SKP'!O24="","",'PENETAPAN SKP'!O24)</f>
        <v>6</v>
      </c>
      <c r="L25" s="837" t="str">
        <f>IF('PENETAPAN SKP'!P24="","",'PENETAPAN SKP'!P24)</f>
        <v>bulan</v>
      </c>
      <c r="M25" s="811">
        <v>6</v>
      </c>
      <c r="N25" s="812" t="str">
        <f t="shared" si="2"/>
        <v>bulan</v>
      </c>
      <c r="O25" s="813" t="s">
        <v>15</v>
      </c>
      <c r="P25" s="814" t="s">
        <v>612</v>
      </c>
      <c r="Q25" s="1322">
        <f t="shared" si="0"/>
        <v>100</v>
      </c>
      <c r="R25" s="1323"/>
      <c r="S25" s="1321" t="str">
        <f t="shared" si="1"/>
        <v>(Baik)</v>
      </c>
      <c r="T25" s="1321"/>
      <c r="U25" s="1328"/>
      <c r="V25" s="1329"/>
      <c r="W25" s="1332"/>
      <c r="X25" s="1334"/>
    </row>
    <row r="26" spans="1:24" ht="84" hidden="1" customHeight="1" x14ac:dyDescent="0.2">
      <c r="A26" s="502"/>
      <c r="B26" s="1111" t="str">
        <f>IF('PENETAPAN SKP'!B25="","",'PENETAPAN SKP'!B25)</f>
        <v>-</v>
      </c>
      <c r="C26" s="1111"/>
      <c r="D26" s="1111" t="str">
        <f>IF('PENETAPAN SKP'!E25="","",'PENETAPAN SKP'!E25)</f>
        <v/>
      </c>
      <c r="E26" s="1111"/>
      <c r="F26" s="510" t="str">
        <f>IF('PENETAPAN SKP'!H25="","",'PENETAPAN SKP'!H25)</f>
        <v/>
      </c>
      <c r="G26" s="1111" t="str">
        <f>IF('PENETAPAN SKP'!I25="","",'PENETAPAN SKP'!I25)</f>
        <v/>
      </c>
      <c r="H26" s="1111"/>
      <c r="I26" s="809" t="str">
        <f>IF('PENETAPAN SKP'!M25="","",'PENETAPAN SKP'!M25)</f>
        <v/>
      </c>
      <c r="J26" s="810" t="str">
        <f>IF('PENETAPAN SKP'!N25="","",'PENETAPAN SKP'!N25)</f>
        <v/>
      </c>
      <c r="K26" s="810" t="str">
        <f>IF('PENETAPAN SKP'!O25="","",'PENETAPAN SKP'!O25)</f>
        <v/>
      </c>
      <c r="L26" s="837" t="str">
        <f>IF('PENETAPAN SKP'!P25="","",'PENETAPAN SKP'!P25)</f>
        <v/>
      </c>
      <c r="M26" s="811"/>
      <c r="N26" s="812" t="str">
        <f t="shared" si="2"/>
        <v/>
      </c>
      <c r="O26" s="813"/>
      <c r="P26" s="814"/>
      <c r="Q26" s="1322"/>
      <c r="R26" s="1323"/>
      <c r="S26" s="1321"/>
      <c r="T26" s="1321"/>
      <c r="U26" s="1324"/>
      <c r="V26" s="1325"/>
      <c r="W26" s="1330"/>
      <c r="X26" s="1333"/>
    </row>
    <row r="27" spans="1:24" ht="45" hidden="1" customHeight="1" x14ac:dyDescent="0.2">
      <c r="A27" s="502"/>
      <c r="B27" s="1111" t="str">
        <f>IF('PENETAPAN SKP'!B26="","",'PENETAPAN SKP'!B26)</f>
        <v/>
      </c>
      <c r="C27" s="1111"/>
      <c r="D27" s="1111" t="str">
        <f>IF('PENETAPAN SKP'!E26="","",'PENETAPAN SKP'!E26)</f>
        <v/>
      </c>
      <c r="E27" s="1111"/>
      <c r="F27" s="510" t="str">
        <f>IF('PENETAPAN SKP'!H26="","",'PENETAPAN SKP'!H26)</f>
        <v/>
      </c>
      <c r="G27" s="1111" t="str">
        <f>IF('PENETAPAN SKP'!I26="","",'PENETAPAN SKP'!I26)</f>
        <v/>
      </c>
      <c r="H27" s="1111"/>
      <c r="I27" s="809" t="str">
        <f>IF('PENETAPAN SKP'!M26="","",'PENETAPAN SKP'!M26)</f>
        <v/>
      </c>
      <c r="J27" s="810" t="str">
        <f>IF('PENETAPAN SKP'!N26="","",'PENETAPAN SKP'!N26)</f>
        <v/>
      </c>
      <c r="K27" s="810" t="str">
        <f>IF('PENETAPAN SKP'!O26="","",'PENETAPAN SKP'!O26)</f>
        <v/>
      </c>
      <c r="L27" s="837" t="str">
        <f>IF('PENETAPAN SKP'!P26="","",'PENETAPAN SKP'!P26)</f>
        <v/>
      </c>
      <c r="M27" s="811"/>
      <c r="N27" s="812" t="str">
        <f t="shared" si="2"/>
        <v/>
      </c>
      <c r="O27" s="813"/>
      <c r="P27" s="814"/>
      <c r="Q27" s="1322"/>
      <c r="R27" s="1323"/>
      <c r="S27" s="1321"/>
      <c r="T27" s="1321"/>
      <c r="U27" s="1326"/>
      <c r="V27" s="1327"/>
      <c r="W27" s="1331"/>
      <c r="X27" s="1334"/>
    </row>
    <row r="28" spans="1:24" ht="45" hidden="1" customHeight="1" x14ac:dyDescent="0.2">
      <c r="A28" s="502"/>
      <c r="B28" s="1111" t="str">
        <f>IF('PENETAPAN SKP'!B27="","",'PENETAPAN SKP'!B27)</f>
        <v/>
      </c>
      <c r="C28" s="1111"/>
      <c r="D28" s="1111" t="str">
        <f>IF('PENETAPAN SKP'!E27="","",'PENETAPAN SKP'!E27)</f>
        <v/>
      </c>
      <c r="E28" s="1111"/>
      <c r="F28" s="510" t="str">
        <f>IF('PENETAPAN SKP'!H27="","",'PENETAPAN SKP'!H27)</f>
        <v/>
      </c>
      <c r="G28" s="1111" t="str">
        <f>IF('PENETAPAN SKP'!I27="","",'PENETAPAN SKP'!I27)</f>
        <v/>
      </c>
      <c r="H28" s="1111"/>
      <c r="I28" s="809" t="str">
        <f>IF('PENETAPAN SKP'!M27="","",'PENETAPAN SKP'!M27)</f>
        <v/>
      </c>
      <c r="J28" s="810" t="str">
        <f>IF('PENETAPAN SKP'!N27="","",'PENETAPAN SKP'!N27)</f>
        <v/>
      </c>
      <c r="K28" s="810" t="str">
        <f>IF('PENETAPAN SKP'!O27="","",'PENETAPAN SKP'!O27)</f>
        <v/>
      </c>
      <c r="L28" s="837" t="str">
        <f>IF('PENETAPAN SKP'!P27="","",'PENETAPAN SKP'!P27)</f>
        <v/>
      </c>
      <c r="M28" s="811"/>
      <c r="N28" s="812" t="str">
        <f t="shared" si="2"/>
        <v/>
      </c>
      <c r="O28" s="813"/>
      <c r="P28" s="814"/>
      <c r="Q28" s="1322"/>
      <c r="R28" s="1323"/>
      <c r="S28" s="1321"/>
      <c r="T28" s="1321"/>
      <c r="U28" s="1328"/>
      <c r="V28" s="1329"/>
      <c r="W28" s="1332"/>
      <c r="X28" s="1334"/>
    </row>
    <row r="29" spans="1:24" ht="60" hidden="1" customHeight="1" x14ac:dyDescent="0.2">
      <c r="A29" s="502">
        <f>IF('[6]PENETAPAN SKP'!A28="","",'[6]PENETAPAN SKP'!A28)</f>
        <v>5</v>
      </c>
      <c r="B29" s="1111" t="str">
        <f>IF('PENETAPAN SKP'!B28="","",'PENETAPAN SKP'!B28)</f>
        <v/>
      </c>
      <c r="C29" s="1111"/>
      <c r="D29" s="1111" t="str">
        <f>IF('PENETAPAN SKP'!E28="","",'PENETAPAN SKP'!E28)</f>
        <v/>
      </c>
      <c r="E29" s="1111"/>
      <c r="F29" s="510" t="str">
        <f>IF('PENETAPAN SKP'!H28="","",'PENETAPAN SKP'!H28)</f>
        <v>Kuantitas</v>
      </c>
      <c r="G29" s="1111" t="str">
        <f>IF('PENETAPAN SKP'!I28="","",'PENETAPAN SKP'!I28)</f>
        <v/>
      </c>
      <c r="H29" s="1111"/>
      <c r="I29" s="809" t="str">
        <f>IF('PENETAPAN SKP'!M28="","",'PENETAPAN SKP'!M28)</f>
        <v/>
      </c>
      <c r="J29" s="810" t="str">
        <f>IF('PENETAPAN SKP'!N28="","",'PENETAPAN SKP'!N28)</f>
        <v/>
      </c>
      <c r="K29" s="810"/>
      <c r="L29" s="837"/>
      <c r="M29" s="811"/>
      <c r="N29" s="812"/>
      <c r="O29" s="813"/>
      <c r="P29" s="814"/>
      <c r="Q29" s="1322"/>
      <c r="R29" s="1323"/>
      <c r="S29" s="1321"/>
      <c r="T29" s="1321"/>
      <c r="U29" s="1324"/>
      <c r="V29" s="1325"/>
      <c r="W29" s="1330"/>
      <c r="X29" s="935"/>
    </row>
    <row r="30" spans="1:24" ht="45" hidden="1" customHeight="1" x14ac:dyDescent="0.2">
      <c r="A30" s="502"/>
      <c r="B30" s="1111" t="str">
        <f>IF('PENETAPAN SKP'!B29="","",'PENETAPAN SKP'!B29)</f>
        <v/>
      </c>
      <c r="C30" s="1111"/>
      <c r="D30" s="1111" t="str">
        <f>IF('PENETAPAN SKP'!E29="","",'PENETAPAN SKP'!E29)</f>
        <v/>
      </c>
      <c r="E30" s="1111"/>
      <c r="F30" s="510" t="str">
        <f>IF('PENETAPAN SKP'!H29="","",'PENETAPAN SKP'!H29)</f>
        <v xml:space="preserve">Kualitas </v>
      </c>
      <c r="G30" s="1111" t="str">
        <f>IF('PENETAPAN SKP'!I29="","",'PENETAPAN SKP'!I29)</f>
        <v/>
      </c>
      <c r="H30" s="1111"/>
      <c r="I30" s="809" t="str">
        <f>IF('PENETAPAN SKP'!M29="","",'PENETAPAN SKP'!M29)</f>
        <v/>
      </c>
      <c r="J30" s="810" t="str">
        <f>IF('PENETAPAN SKP'!N29="","",'PENETAPAN SKP'!N29)</f>
        <v/>
      </c>
      <c r="K30" s="810"/>
      <c r="L30" s="837"/>
      <c r="M30" s="811"/>
      <c r="N30" s="812"/>
      <c r="O30" s="813"/>
      <c r="P30" s="814"/>
      <c r="Q30" s="1322"/>
      <c r="R30" s="1323"/>
      <c r="S30" s="1321"/>
      <c r="T30" s="1321"/>
      <c r="U30" s="1326"/>
      <c r="V30" s="1327"/>
      <c r="W30" s="1331"/>
      <c r="X30" s="935"/>
    </row>
    <row r="31" spans="1:24" ht="45" hidden="1" customHeight="1" x14ac:dyDescent="0.2">
      <c r="A31" s="502"/>
      <c r="B31" s="1111" t="str">
        <f>IF('PENETAPAN SKP'!B30="","",'PENETAPAN SKP'!B30)</f>
        <v/>
      </c>
      <c r="C31" s="1111"/>
      <c r="D31" s="1111" t="str">
        <f>IF('PENETAPAN SKP'!E30="","",'PENETAPAN SKP'!E30)</f>
        <v/>
      </c>
      <c r="E31" s="1111"/>
      <c r="F31" s="510" t="str">
        <f>IF('PENETAPAN SKP'!H30="","",'PENETAPAN SKP'!H30)</f>
        <v xml:space="preserve">Waktu </v>
      </c>
      <c r="G31" s="1111" t="str">
        <f>IF('PENETAPAN SKP'!I30="","",'PENETAPAN SKP'!I30)</f>
        <v/>
      </c>
      <c r="H31" s="1111"/>
      <c r="I31" s="809" t="str">
        <f>IF('PENETAPAN SKP'!M30="","",'PENETAPAN SKP'!M30)</f>
        <v/>
      </c>
      <c r="J31" s="810" t="str">
        <f>IF('PENETAPAN SKP'!N30="","",'PENETAPAN SKP'!N30)</f>
        <v/>
      </c>
      <c r="K31" s="810"/>
      <c r="L31" s="837"/>
      <c r="M31" s="811"/>
      <c r="N31" s="812"/>
      <c r="O31" s="813"/>
      <c r="P31" s="814"/>
      <c r="Q31" s="1322"/>
      <c r="R31" s="1323"/>
      <c r="S31" s="1321"/>
      <c r="T31" s="1321"/>
      <c r="U31" s="1328"/>
      <c r="V31" s="1329"/>
      <c r="W31" s="1332"/>
      <c r="X31" s="935"/>
    </row>
    <row r="32" spans="1:24" ht="15" customHeight="1" x14ac:dyDescent="0.2">
      <c r="A32" s="1339" t="s">
        <v>24</v>
      </c>
      <c r="B32" s="1339"/>
      <c r="C32" s="1339"/>
      <c r="D32" s="1339"/>
      <c r="E32" s="1339"/>
      <c r="F32" s="1339"/>
      <c r="G32" s="1339"/>
      <c r="H32" s="1339"/>
      <c r="I32" s="1339"/>
      <c r="J32" s="1339"/>
      <c r="K32" s="1339"/>
      <c r="L32" s="1339"/>
      <c r="M32" s="1339"/>
      <c r="N32" s="1339"/>
      <c r="O32" s="1339"/>
      <c r="P32" s="1339"/>
      <c r="Q32" s="1339"/>
      <c r="R32" s="1339"/>
      <c r="S32" s="1339"/>
      <c r="T32" s="1339"/>
      <c r="U32" s="1339"/>
      <c r="V32" s="1339"/>
      <c r="W32" s="815">
        <f>SUM(W17:W31)</f>
        <v>300</v>
      </c>
      <c r="X32" s="816">
        <f>AVERAGE(X17:X28)</f>
        <v>100</v>
      </c>
    </row>
    <row r="33" spans="1:24" ht="15.75" customHeight="1" x14ac:dyDescent="0.2">
      <c r="A33" s="1344" t="s">
        <v>366</v>
      </c>
      <c r="B33" s="1209"/>
      <c r="C33" s="1209"/>
      <c r="D33" s="1209"/>
      <c r="E33" s="1208"/>
      <c r="F33" s="1208"/>
      <c r="G33" s="1208"/>
      <c r="H33" s="1208"/>
      <c r="I33" s="1209"/>
      <c r="J33" s="1209"/>
      <c r="K33" s="1209"/>
      <c r="L33" s="1209"/>
      <c r="M33" s="1208"/>
      <c r="N33" s="1208"/>
      <c r="O33" s="1208"/>
      <c r="P33" s="1208"/>
      <c r="Q33" s="1209"/>
      <c r="R33" s="1209"/>
      <c r="S33" s="1209"/>
      <c r="T33" s="1209"/>
      <c r="U33" s="1209"/>
      <c r="V33" s="1209"/>
      <c r="W33" s="1208"/>
      <c r="X33" s="1305"/>
    </row>
    <row r="34" spans="1:24" ht="60" customHeight="1" x14ac:dyDescent="0.2">
      <c r="A34" s="502">
        <f>IF('PENETAPAN SKP'!A33="","",'PENETAPAN SKP'!A33)</f>
        <v>1</v>
      </c>
      <c r="B34" s="1111" t="str">
        <f>IF('[6]PENETAPAN SKP'!B33="","",'[6]PENETAPAN SKP'!B33)</f>
        <v>-</v>
      </c>
      <c r="C34" s="1111"/>
      <c r="D34" s="1111" t="str">
        <f>IF('PENETAPAN SKP'!E33="","",'PENETAPAN SKP'!E33)</f>
        <v>Diklat peningkatan kompetensi guru yang telah selesai diikuti</v>
      </c>
      <c r="E34" s="1111"/>
      <c r="F34" s="510" t="str">
        <f>IF('PENETAPAN SKP'!H33="","",'PENETAPAN SKP'!H33)</f>
        <v>Kuantitas</v>
      </c>
      <c r="G34" s="1111" t="str">
        <f>IF('PENETAPAN SKP'!I33="","",'PENETAPAN SKP'!I33)</f>
        <v>Jumlah kegiatan yang diikuti</v>
      </c>
      <c r="H34" s="1111"/>
      <c r="I34" s="809" t="str">
        <f>IF('PENETAPAN SKP'!M33="","",'PENETAPAN SKP'!M33)</f>
        <v/>
      </c>
      <c r="J34" s="810" t="str">
        <f>IF('PENETAPAN SKP'!N33="","",'PENETAPAN SKP'!N33)</f>
        <v/>
      </c>
      <c r="K34" s="810">
        <f>IF('PENETAPAN SKP'!O33="","",'PENETAPAN SKP'!O33)</f>
        <v>1</v>
      </c>
      <c r="L34" s="810" t="str">
        <f>IF('PENETAPAN SKP'!P33="","",'PENETAPAN SKP'!P33)</f>
        <v>kegiatan</v>
      </c>
      <c r="M34" s="811">
        <v>1</v>
      </c>
      <c r="N34" s="812" t="str">
        <f t="shared" ref="N34:N42" si="3">L34</f>
        <v>kegiatan</v>
      </c>
      <c r="O34" s="813">
        <v>2</v>
      </c>
      <c r="P34" s="814" t="s">
        <v>612</v>
      </c>
      <c r="Q34" s="1319">
        <f>IF(P34="N",M34/K34*100,IF(P34="NP",M34/K34*100,IF(P34="NM",M34/I34*100,IF(P34="R",100,IF(P34="K",(1+(1-(M34/K34)))*100,IF(P34="KP",(1+(1-(M34/K34)))*100,IF(P34="KM",(1+(1-(M34/I34)))*100,"-")))))))</f>
        <v>100</v>
      </c>
      <c r="R34" s="1320"/>
      <c r="S34" s="1321" t="str">
        <f>IF(Q34="-","-",IF(((Q34=100)*AND(Q34=K34)),"(Sangat Baik)",IF(Q34&lt;=59,"(Sangat Kurang)",IF(Q34&lt;=79,"(Kurang)",IF(Q34&lt;=99,"(Cukup)",IF(Q34=100,"(Baik)","(Sangat Baik)"))))))</f>
        <v>(Baik)</v>
      </c>
      <c r="T34" s="1321"/>
      <c r="U34" s="1324" t="str">
        <f>IF(S34="-","-",IF(OR((COUNTIF(S34:T36,"(Sangat Baik)")=3),((COUNTIF(S34:T36,"(Sangat Baik)")=2)*AND(COUNTIF(S34:T36,"(Baik)")=1))),"(Sangat Baik)",
IF(OR((COUNTIF(S34:T36,"(Baik)")=3),((COUNTIF(S34:T36,"(Baik)")=2)*AND(COUNTIF(S34:T36,"(Sangat Baik)")=1)),((COUNTIF(S34:T36,"(Baik)")=2)*AND(COUNTIF(S34:T36,"(Cukup)")=1)),((COUNTIF(S34:T36,"(Sangat Baik)")=2)*AND(COUNTIF(S34:T36,"(Cukup)")=1)),((COUNTIF(S34:T36,"(Sangat Baik)")=1)*AND(COUNTIF(S34:T36,"(Baik)")=1)*AND(COUNTIF(S34:T36,"(Cukup)")=1))),"(Baik)",
IF(OR((COUNTIF(S34:T36,"(Cukup)")=3),((COUNTIF(S34:T36,"(Cukup)")=2)*AND(COUNTIF(S34:T36,"(Baik)")=1)),((COUNTIF(S34:T36,"(Cukup)")=2)*AND(COUNTIF(S34:T36,"(Sangat Baik)")=1)),((COUNTIF(S34:T36,"(Cukup)")=2)*AND(COUNTIF(S34:T36,"(Kurang)")=1)),((COUNTIF(S34:T36,"(Baik)")=2)*AND(COUNTIF(S34:T36,"(Kurang)")=1)),((COUNTIF(S34:T36,"(Sangat Baik)")=2)*AND(COUNTIF(S34:T36,"(Kurang)")=1)),((COUNTIF(S34:T36,"(Sangat Baik)")=1)*AND(COUNTIF(S34:T36,"(Baik)")=1)*AND(COUNTIF(S34:T36,"(Kurang)")=1)),((COUNTIF(S34:T36,"(Sangat Baik)")=1)*AND(COUNTIF(S34:T36,"(Cukup)")=1)*AND(COUNTIF(S34:T36,"(Kurang)")=1)),((COUNTIF(S34:T36,"(Baik)")=1)*AND(COUNTIF(S34:T36,"(Cukup)")=1)*AND(COUNTIF(S34:T36,"(Kurang)")=1))),"(Cukup)",
IF(OR((COUNTIF(S34:T36,"(Kurang)")=3),((COUNTIF(S34:T36,"(Kurang)")=2)*AND(COUNTIF(S34:T36,"(Cukup)")=1)),((COUNTIF(S34:T36,"(Kurang)")=2)*AND(COUNTIF(S34:T36,"(Baik)")=1)),((COUNTIF(S34:T36,"(Kurang)")=2)*AND(COUNTIF(S34:T36,"(Sangat Baik)")=1)),((COUNTIF(S34:T36,"(Kurang)")=2)*AND(COUNTIF(S34:T36,"(Sangat Kurang)")=1)),((COUNTIF(S34:T36,"(Cukup)")=2)*AND(COUNTIF(S34:T36,"(Sangat Kurang)")=1)),((COUNTIF(S34:T36,"(Baik)")=2)*AND(COUNTIF(S34:T36,"(Sangat Kurang)")=1)),((COUNTIF(S34:T36,"(Sangat Baik)")=2)*AND(COUNTIF(S34:T36,"(Sangat Kurang)")=1)),((COUNTIF(S34:T36,"(Sangat Baik)")=1)*AND(COUNTIF(S34:T36,"(Baik)")=1)*AND(COUNTIF(S34:T36,"(Sangat Kurang)")=1)),((COUNTIF(S34:T36,"(Sangat Baik)")=1)*AND(COUNTIF(S34:T36,"(Cukup)")=1)*AND(COUNTIF(S34:T36,"(Sangat Kurang)")=1)),((COUNTIF(S34:T36,"(Sangat Baik)")=1)*AND(COUNTIF(S34:T36,"(Kurang)")=1)*AND(COUNTIF(S34:T36,"(Sangat Kurang)")=1)),((COUNTIF(S34:T36,"(Baik)")=1)*AND(COUNTIF(S34:T36,"(Cukup)")=1)*AND(COUNTIF(S34:T36,"(Sangat Kurang)")=1)),((COUNTIF(S34:T36,"(Baik)")=1)*AND(COUNTIF(S34:T36,"(Kurang)")=1)*AND(COUNTIF(S34:T36,"(Sangat Kurang)")=1)),((COUNTIF(S34:T36,"(Cukup)")=1)*AND(COUNTIF(S34:T36,"(Kurang)")=1)*AND(COUNTIF(S34:T36,"(Sangat Kurang)")=1)),((COUNTIF(S34:T36,"(Sangat Baik)")=1)*AND(COUNTIF(S34:T36,"(Kurang)")=1)*AND(COUNTIF(S34:T36,"(Sangat Kurang)")=1)),((COUNTIF(S34:T36,"(Sangat Baik)")=1)*AND(COUNTIF(S34:T36,"(Sangat Baik)")=1)*AND(COUNTIF(S34:T36,"(Sangat Kurang)")=1))),"(Kurang)","(Sangat Kurang)")))))</f>
        <v>(Baik)</v>
      </c>
      <c r="V34" s="1325"/>
      <c r="W34" s="1330">
        <f>IF(U34="-","-",IF(U34="(Sangat Baik)",120,IF(U34="(Baik)",100,IF(U34="(Cukup)",80,IF(U34="(Kurang)",60,25)))))</f>
        <v>100</v>
      </c>
      <c r="X34" s="1333">
        <f>IF(U34="-","-",IF(U34="(Sangat Baik)",(O34%*W34),IF(U34="(Baik)",(80%*O34%*W34),IF(U34="(Cukup)",(60%*O34%*W34),IF(U34="(Kurang)",(40%*O34%*W34),(20%*O34%*W34))))))</f>
        <v>1.6</v>
      </c>
    </row>
    <row r="35" spans="1:24" ht="45" customHeight="1" x14ac:dyDescent="0.2">
      <c r="A35" s="925" t="str">
        <f>IF('PENETAPAN SKP'!A34="","",'PENETAPAN SKP'!A34)</f>
        <v/>
      </c>
      <c r="B35" s="1111"/>
      <c r="C35" s="1111"/>
      <c r="D35" s="1111" t="str">
        <f>IF('PENETAPAN SKP'!E34="","",'PENETAPAN SKP'!E34)</f>
        <v/>
      </c>
      <c r="E35" s="1111"/>
      <c r="F35" s="510" t="str">
        <f>IF('PENETAPAN SKP'!H34="","",'PENETAPAN SKP'!H34)</f>
        <v xml:space="preserve">Kualitas </v>
      </c>
      <c r="G35" s="1111" t="str">
        <f>IF('PENETAPAN SKP'!I34="","",'PENETAPAN SKP'!I34)</f>
        <v>Tingkat pemahaman materi Diklat</v>
      </c>
      <c r="H35" s="1111"/>
      <c r="I35" s="809">
        <f>IF('PENETAPAN SKP'!M34="","",'PENETAPAN SKP'!M34)</f>
        <v>80</v>
      </c>
      <c r="J35" s="810" t="str">
        <f>IF('PENETAPAN SKP'!N34="","",'PENETAPAN SKP'!N34)</f>
        <v>-</v>
      </c>
      <c r="K35" s="810">
        <f>IF('PENETAPAN SKP'!O34="","",'PENETAPAN SKP'!O34)</f>
        <v>90</v>
      </c>
      <c r="L35" s="810" t="str">
        <f>IF('PENETAPAN SKP'!P34="","",'PENETAPAN SKP'!P34)</f>
        <v>persen</v>
      </c>
      <c r="M35" s="811">
        <v>85</v>
      </c>
      <c r="N35" s="812" t="str">
        <f t="shared" si="3"/>
        <v>persen</v>
      </c>
      <c r="O35" s="813">
        <v>90</v>
      </c>
      <c r="P35" s="814" t="s">
        <v>613</v>
      </c>
      <c r="Q35" s="1322">
        <f t="shared" ref="Q35:Q42" si="4">IF(P35="N",M35/K35*100,IF(P35="NP",M35/K35*100,IF(P35="NM",M35/I35*100,IF(P35="R",100,IF(P35="K",(1+(1-(M35/K35)))*100,IF(P35="KP",(1+(1-(M35/K35)))*100,IF(P35="KM",(1+(1-(M35/I35)))*100,"-")))))))</f>
        <v>100</v>
      </c>
      <c r="R35" s="1323"/>
      <c r="S35" s="1321" t="str">
        <f t="shared" ref="S35:S42" si="5">IF(Q35="-","-",IF(((Q35=100)*AND(Q35=K35)),"(Sangat Baik)",IF(Q35&lt;=59,"(Sangat Kurang)",IF(Q35&lt;=79,"(Kurang)",IF(Q35&lt;=99,"(Cukup)",IF(Q35=100,"(Baik)","(Sangat Baik)"))))))</f>
        <v>(Baik)</v>
      </c>
      <c r="T35" s="1321"/>
      <c r="U35" s="1326"/>
      <c r="V35" s="1327"/>
      <c r="W35" s="1331"/>
      <c r="X35" s="1334"/>
    </row>
    <row r="36" spans="1:24" ht="45" customHeight="1" x14ac:dyDescent="0.2">
      <c r="A36" s="925" t="str">
        <f>IF('PENETAPAN SKP'!A35="","",'PENETAPAN SKP'!A35)</f>
        <v/>
      </c>
      <c r="B36" s="1111"/>
      <c r="C36" s="1111"/>
      <c r="D36" s="1111" t="str">
        <f>IF('PENETAPAN SKP'!E35="","",'PENETAPAN SKP'!E35)</f>
        <v/>
      </c>
      <c r="E36" s="1111"/>
      <c r="F36" s="510" t="str">
        <f>IF('PENETAPAN SKP'!H35="","",'PENETAPAN SKP'!H35)</f>
        <v xml:space="preserve">Waktu </v>
      </c>
      <c r="G36" s="1111" t="str">
        <f>IF('PENETAPAN SKP'!I35="","",'PENETAPAN SKP'!I35)</f>
        <v>Jangka waktu mengikuti Diklat</v>
      </c>
      <c r="H36" s="1111"/>
      <c r="I36" s="809" t="str">
        <f>IF('PENETAPAN SKP'!M35="","",'PENETAPAN SKP'!M35)</f>
        <v/>
      </c>
      <c r="J36" s="810" t="str">
        <f>IF('PENETAPAN SKP'!N35="","",'PENETAPAN SKP'!N35)</f>
        <v/>
      </c>
      <c r="K36" s="810">
        <f>IF('PENETAPAN SKP'!O35="","",'PENETAPAN SKP'!O35)</f>
        <v>36</v>
      </c>
      <c r="L36" s="810" t="str">
        <f>IF('PENETAPAN SKP'!P35="","",'PENETAPAN SKP'!P35)</f>
        <v>JPL</v>
      </c>
      <c r="M36" s="811">
        <v>32</v>
      </c>
      <c r="N36" s="812" t="str">
        <f t="shared" ref="N36:N41" si="6">L36</f>
        <v>JPL</v>
      </c>
      <c r="O36" s="813">
        <v>3</v>
      </c>
      <c r="P36" s="814" t="s">
        <v>613</v>
      </c>
      <c r="Q36" s="1322">
        <f t="shared" ref="Q36:Q41" si="7">IF(P36="N",M36/K36*100,IF(P36="NP",M36/K36*100,IF(P36="NM",M36/I36*100,IF(P36="R",100,IF(P36="K",(1+(1-(M36/K36)))*100,IF(P36="KP",(1+(1-(M36/K36)))*100,IF(P36="KM",(1+(1-(M36/I36)))*100,"-")))))))</f>
        <v>100</v>
      </c>
      <c r="R36" s="1323"/>
      <c r="S36" s="1321" t="str">
        <f t="shared" ref="S36:S41" si="8">IF(Q36="-","-",IF(((Q36=100)*AND(Q36=K36)),"(Sangat Baik)",IF(Q36&lt;=59,"(Sangat Kurang)",IF(Q36&lt;=79,"(Kurang)",IF(Q36&lt;=99,"(Cukup)",IF(Q36=100,"(Baik)","(Sangat Baik)"))))))</f>
        <v>(Baik)</v>
      </c>
      <c r="T36" s="1321"/>
      <c r="U36" s="1328"/>
      <c r="V36" s="1329"/>
      <c r="W36" s="1332"/>
      <c r="X36" s="1335"/>
    </row>
    <row r="37" spans="1:24" ht="45" hidden="1" customHeight="1" x14ac:dyDescent="0.2">
      <c r="A37" s="925">
        <v>2</v>
      </c>
      <c r="B37" s="1315"/>
      <c r="C37" s="1316"/>
      <c r="D37" s="1111" t="str">
        <f>IF('PENETAPAN SKP'!E36="","",'PENETAPAN SKP'!E36)</f>
        <v/>
      </c>
      <c r="E37" s="1111"/>
      <c r="F37" s="510" t="str">
        <f>IF('PENETAPAN SKP'!H36="","",'PENETAPAN SKP'!H36)</f>
        <v/>
      </c>
      <c r="G37" s="1111" t="str">
        <f>IF('PENETAPAN SKP'!I36="","",'PENETAPAN SKP'!I36)</f>
        <v/>
      </c>
      <c r="H37" s="1111"/>
      <c r="I37" s="809" t="str">
        <f>IF('PENETAPAN SKP'!M36="","",'PENETAPAN SKP'!M36)</f>
        <v/>
      </c>
      <c r="J37" s="810" t="str">
        <f>IF('PENETAPAN SKP'!N36="","",'PENETAPAN SKP'!N36)</f>
        <v/>
      </c>
      <c r="K37" s="810" t="str">
        <f>IF('PENETAPAN SKP'!O36="","",'PENETAPAN SKP'!O36)</f>
        <v/>
      </c>
      <c r="L37" s="810" t="str">
        <f>IF('PENETAPAN SKP'!P36="","",'PENETAPAN SKP'!P36)</f>
        <v/>
      </c>
      <c r="M37" s="811"/>
      <c r="N37" s="812"/>
      <c r="O37" s="813"/>
      <c r="P37" s="814"/>
      <c r="Q37" s="1319"/>
      <c r="R37" s="1320"/>
      <c r="S37" s="1321"/>
      <c r="T37" s="1321"/>
      <c r="U37" s="1324"/>
      <c r="V37" s="1325"/>
      <c r="W37" s="1330"/>
      <c r="X37" s="1333"/>
    </row>
    <row r="38" spans="1:24" ht="45" hidden="1" customHeight="1" x14ac:dyDescent="0.2">
      <c r="A38" s="925"/>
      <c r="B38" s="1315"/>
      <c r="C38" s="1316"/>
      <c r="D38" s="1315"/>
      <c r="E38" s="1316"/>
      <c r="F38" s="510" t="str">
        <f>IF('PENETAPAN SKP'!H37="","",'PENETAPAN SKP'!H37)</f>
        <v/>
      </c>
      <c r="G38" s="1111" t="str">
        <f>IF('PENETAPAN SKP'!I37="","",'PENETAPAN SKP'!I37)</f>
        <v/>
      </c>
      <c r="H38" s="1111"/>
      <c r="I38" s="809" t="str">
        <f>IF('PENETAPAN SKP'!M37="","",'PENETAPAN SKP'!M37)</f>
        <v/>
      </c>
      <c r="J38" s="810" t="str">
        <f>IF('PENETAPAN SKP'!N37="","",'PENETAPAN SKP'!N37)</f>
        <v/>
      </c>
      <c r="K38" s="810" t="str">
        <f>IF('PENETAPAN SKP'!O37="","",'PENETAPAN SKP'!O37)</f>
        <v/>
      </c>
      <c r="L38" s="810" t="str">
        <f>IF('PENETAPAN SKP'!P37="","",'PENETAPAN SKP'!P37)</f>
        <v/>
      </c>
      <c r="M38" s="811"/>
      <c r="N38" s="812"/>
      <c r="O38" s="813"/>
      <c r="P38" s="814"/>
      <c r="Q38" s="1322"/>
      <c r="R38" s="1323"/>
      <c r="S38" s="1321"/>
      <c r="T38" s="1321"/>
      <c r="U38" s="1326"/>
      <c r="V38" s="1327"/>
      <c r="W38" s="1331"/>
      <c r="X38" s="1334"/>
    </row>
    <row r="39" spans="1:24" ht="45" hidden="1" customHeight="1" x14ac:dyDescent="0.2">
      <c r="A39" s="925"/>
      <c r="B39" s="1317"/>
      <c r="C39" s="1318"/>
      <c r="D39" s="1315"/>
      <c r="E39" s="1316"/>
      <c r="F39" s="510" t="str">
        <f>IF('PENETAPAN SKP'!H38="","",'PENETAPAN SKP'!H38)</f>
        <v/>
      </c>
      <c r="G39" s="1111" t="str">
        <f>IF('PENETAPAN SKP'!I38="","",'PENETAPAN SKP'!I38)</f>
        <v/>
      </c>
      <c r="H39" s="1111"/>
      <c r="I39" s="809" t="str">
        <f>IF('PENETAPAN SKP'!M38="","",'PENETAPAN SKP'!M38)</f>
        <v/>
      </c>
      <c r="J39" s="810" t="str">
        <f>IF('PENETAPAN SKP'!N38="","",'PENETAPAN SKP'!N38)</f>
        <v/>
      </c>
      <c r="K39" s="810" t="str">
        <f>IF('PENETAPAN SKP'!O38="","",'PENETAPAN SKP'!O38)</f>
        <v/>
      </c>
      <c r="L39" s="810" t="str">
        <f>IF('PENETAPAN SKP'!P38="","",'PENETAPAN SKP'!P38)</f>
        <v/>
      </c>
      <c r="M39" s="811"/>
      <c r="N39" s="812"/>
      <c r="O39" s="813"/>
      <c r="P39" s="814"/>
      <c r="Q39" s="1322"/>
      <c r="R39" s="1323"/>
      <c r="S39" s="1321"/>
      <c r="T39" s="1321"/>
      <c r="U39" s="1328"/>
      <c r="V39" s="1329"/>
      <c r="W39" s="1332"/>
      <c r="X39" s="1335"/>
    </row>
    <row r="40" spans="1:24" ht="45" hidden="1" customHeight="1" x14ac:dyDescent="0.2">
      <c r="A40" s="925">
        <v>3</v>
      </c>
      <c r="B40" s="1111"/>
      <c r="C40" s="1111"/>
      <c r="D40" s="1111" t="str">
        <f>IF('PENETAPAN SKP'!E39="","",'PENETAPAN SKP'!E39)</f>
        <v/>
      </c>
      <c r="E40" s="1111"/>
      <c r="F40" s="510" t="str">
        <f>IF('PENETAPAN SKP'!H39="","",'PENETAPAN SKP'!H39)</f>
        <v/>
      </c>
      <c r="G40" s="1111" t="str">
        <f>IF('PENETAPAN SKP'!I39="","",'PENETAPAN SKP'!I39)</f>
        <v/>
      </c>
      <c r="H40" s="1111"/>
      <c r="I40" s="809" t="str">
        <f>IF('PENETAPAN SKP'!M39="","",'PENETAPAN SKP'!M39)</f>
        <v/>
      </c>
      <c r="J40" s="810" t="str">
        <f>IF('PENETAPAN SKP'!N39="","",'PENETAPAN SKP'!N39)</f>
        <v/>
      </c>
      <c r="K40" s="810" t="str">
        <f>IF('PENETAPAN SKP'!O39="","",'PENETAPAN SKP'!O39)</f>
        <v/>
      </c>
      <c r="L40" s="810" t="str">
        <f>IF('PENETAPAN SKP'!P39="","",'PENETAPAN SKP'!P39)</f>
        <v/>
      </c>
      <c r="M40" s="811"/>
      <c r="N40" s="812"/>
      <c r="O40" s="813"/>
      <c r="P40" s="814"/>
      <c r="Q40" s="1322"/>
      <c r="R40" s="1323"/>
      <c r="S40" s="1321"/>
      <c r="T40" s="1321"/>
      <c r="U40" s="1324"/>
      <c r="V40" s="1325"/>
      <c r="W40" s="1330"/>
      <c r="X40" s="1333"/>
    </row>
    <row r="41" spans="1:24" ht="45" hidden="1" customHeight="1" x14ac:dyDescent="0.2">
      <c r="A41" s="925" t="str">
        <f>IF('PENETAPAN SKP'!A40="","",'PENETAPAN SKP'!A40)</f>
        <v/>
      </c>
      <c r="B41" s="1111"/>
      <c r="C41" s="1111"/>
      <c r="D41" s="1111" t="str">
        <f>IF('PENETAPAN SKP'!E40="","",'PENETAPAN SKP'!E40)</f>
        <v/>
      </c>
      <c r="E41" s="1111"/>
      <c r="F41" s="510" t="str">
        <f>IF('PENETAPAN SKP'!H40="","",'PENETAPAN SKP'!H40)</f>
        <v/>
      </c>
      <c r="G41" s="1111" t="str">
        <f>IF('PENETAPAN SKP'!I40="","",'PENETAPAN SKP'!I40)</f>
        <v/>
      </c>
      <c r="H41" s="1111"/>
      <c r="I41" s="809" t="str">
        <f>IF('PENETAPAN SKP'!M40="","",'PENETAPAN SKP'!M40)</f>
        <v/>
      </c>
      <c r="J41" s="810" t="str">
        <f>IF('PENETAPAN SKP'!N40="","",'PENETAPAN SKP'!N40)</f>
        <v/>
      </c>
      <c r="K41" s="810" t="str">
        <f>IF('PENETAPAN SKP'!O40="","",'PENETAPAN SKP'!O40)</f>
        <v/>
      </c>
      <c r="L41" s="810" t="str">
        <f>IF('PENETAPAN SKP'!P40="","",'PENETAPAN SKP'!P40)</f>
        <v/>
      </c>
      <c r="M41" s="811"/>
      <c r="N41" s="812"/>
      <c r="O41" s="813"/>
      <c r="P41" s="814"/>
      <c r="Q41" s="1322"/>
      <c r="R41" s="1323"/>
      <c r="S41" s="1321"/>
      <c r="T41" s="1321"/>
      <c r="U41" s="1326"/>
      <c r="V41" s="1327"/>
      <c r="W41" s="1331"/>
      <c r="X41" s="1334"/>
    </row>
    <row r="42" spans="1:24" ht="45" hidden="1" customHeight="1" x14ac:dyDescent="0.2">
      <c r="A42" s="925" t="str">
        <f>IF('PENETAPAN SKP'!A41="","",'PENETAPAN SKP'!A41)</f>
        <v/>
      </c>
      <c r="B42" s="1111"/>
      <c r="C42" s="1111"/>
      <c r="D42" s="1111" t="str">
        <f>IF('PENETAPAN SKP'!E41="","",'PENETAPAN SKP'!E41)</f>
        <v/>
      </c>
      <c r="E42" s="1111"/>
      <c r="F42" s="510" t="str">
        <f>IF('PENETAPAN SKP'!H41="","",'PENETAPAN SKP'!H41)</f>
        <v/>
      </c>
      <c r="G42" s="1111" t="str">
        <f>IF('PENETAPAN SKP'!I41="","",'PENETAPAN SKP'!I41)</f>
        <v/>
      </c>
      <c r="H42" s="1111"/>
      <c r="I42" s="809" t="str">
        <f>IF('PENETAPAN SKP'!M41="","",'PENETAPAN SKP'!M41)</f>
        <v/>
      </c>
      <c r="J42" s="810" t="str">
        <f>IF('PENETAPAN SKP'!N41="","",'PENETAPAN SKP'!N41)</f>
        <v/>
      </c>
      <c r="K42" s="810" t="str">
        <f>IF('PENETAPAN SKP'!O41="","",'PENETAPAN SKP'!O41)</f>
        <v/>
      </c>
      <c r="L42" s="810" t="str">
        <f>IF('PENETAPAN SKP'!P41="","",'PENETAPAN SKP'!P41)</f>
        <v/>
      </c>
      <c r="M42" s="811"/>
      <c r="N42" s="812"/>
      <c r="O42" s="813"/>
      <c r="P42" s="814"/>
      <c r="Q42" s="1322"/>
      <c r="R42" s="1323"/>
      <c r="S42" s="1321"/>
      <c r="T42" s="1321"/>
      <c r="U42" s="1328"/>
      <c r="V42" s="1329"/>
      <c r="W42" s="1332"/>
      <c r="X42" s="1335"/>
    </row>
    <row r="43" spans="1:24" ht="15.75" customHeight="1" x14ac:dyDescent="0.2">
      <c r="A43" s="1339" t="s">
        <v>24</v>
      </c>
      <c r="B43" s="1339"/>
      <c r="C43" s="1339"/>
      <c r="D43" s="1339"/>
      <c r="E43" s="1339"/>
      <c r="F43" s="1339"/>
      <c r="G43" s="1339"/>
      <c r="H43" s="1339"/>
      <c r="I43" s="1339"/>
      <c r="J43" s="1339"/>
      <c r="K43" s="1339"/>
      <c r="L43" s="1339"/>
      <c r="M43" s="1339"/>
      <c r="N43" s="1339"/>
      <c r="O43" s="1339"/>
      <c r="P43" s="1339"/>
      <c r="Q43" s="1339"/>
      <c r="R43" s="1339"/>
      <c r="S43" s="1339"/>
      <c r="T43" s="1339"/>
      <c r="U43" s="1339"/>
      <c r="V43" s="1339"/>
      <c r="W43" s="1340">
        <f>IF(SUM(X34)&gt;10,10,SUM(X34:X40))</f>
        <v>1.6</v>
      </c>
      <c r="X43" s="1341"/>
    </row>
    <row r="44" spans="1:24" s="500" customFormat="1" ht="30" customHeight="1" x14ac:dyDescent="0.2">
      <c r="A44" s="1342" t="s">
        <v>395</v>
      </c>
      <c r="B44" s="1342"/>
      <c r="C44" s="1342"/>
      <c r="D44" s="1342"/>
      <c r="E44" s="1342"/>
      <c r="F44" s="1342"/>
      <c r="G44" s="1342"/>
      <c r="H44" s="1342"/>
      <c r="I44" s="1342"/>
      <c r="J44" s="1342"/>
      <c r="K44" s="1342"/>
      <c r="L44" s="1342"/>
      <c r="M44" s="1342"/>
      <c r="N44" s="1342"/>
      <c r="O44" s="1342"/>
      <c r="P44" s="1342"/>
      <c r="Q44" s="1342"/>
      <c r="R44" s="1342"/>
      <c r="S44" s="1342"/>
      <c r="T44" s="1342"/>
      <c r="U44" s="1342"/>
      <c r="V44" s="1342"/>
      <c r="W44" s="1343">
        <f>IF((X32+W43)&gt;120,120,(X32+W43))</f>
        <v>101.6</v>
      </c>
      <c r="X44" s="1343"/>
    </row>
    <row r="45" spans="1:24" ht="30" customHeight="1" x14ac:dyDescent="0.2">
      <c r="A45" s="1336" t="s">
        <v>614</v>
      </c>
      <c r="B45" s="1337"/>
      <c r="C45" s="1337"/>
      <c r="D45" s="1337"/>
      <c r="E45" s="1337"/>
      <c r="F45" s="1337"/>
      <c r="G45" s="1337"/>
      <c r="H45" s="1337"/>
      <c r="I45" s="1337"/>
      <c r="J45" s="1337"/>
      <c r="K45" s="1337"/>
      <c r="L45" s="1337"/>
      <c r="M45" s="1337"/>
      <c r="N45" s="1337"/>
      <c r="O45" s="1337"/>
      <c r="P45" s="1337"/>
      <c r="Q45" s="1337"/>
      <c r="R45" s="1337"/>
      <c r="S45" s="1337"/>
      <c r="T45" s="1337"/>
      <c r="U45" s="1337"/>
      <c r="V45" s="1337"/>
      <c r="W45" s="1337"/>
      <c r="X45" s="1338"/>
    </row>
    <row r="46" spans="1:24" ht="15.75" customHeight="1" x14ac:dyDescent="0.2"/>
    <row r="47" spans="1:24" ht="15.75" customHeight="1" x14ac:dyDescent="0.2"/>
    <row r="48" spans="1:24" ht="15.75" customHeight="1" x14ac:dyDescent="0.2">
      <c r="Q48" s="485" t="str">
        <f>"Sleman, "&amp;PERIODE!E18</f>
        <v>Sleman, 03 Januari  2022</v>
      </c>
      <c r="W48" s="817"/>
    </row>
    <row r="49" spans="1:33" ht="15.75" customHeight="1" x14ac:dyDescent="0.2">
      <c r="Q49" s="485" t="s">
        <v>523</v>
      </c>
    </row>
    <row r="50" spans="1:33" ht="15.75" customHeight="1" x14ac:dyDescent="0.2"/>
    <row r="51" spans="1:33" ht="15.75" customHeight="1" x14ac:dyDescent="0.2"/>
    <row r="52" spans="1:33" ht="15.75" customHeight="1" x14ac:dyDescent="0.2"/>
    <row r="53" spans="1:33" ht="15.75" customHeight="1" x14ac:dyDescent="0.2"/>
    <row r="54" spans="1:33" s="485" customFormat="1" ht="15.75" customHeight="1" x14ac:dyDescent="0.2">
      <c r="A54" s="725"/>
      <c r="Q54" s="485" t="str">
        <f>Q8</f>
        <v>Drs. Busyroni Majid, M.Si</v>
      </c>
      <c r="Y54" s="484"/>
      <c r="Z54" s="484"/>
      <c r="AA54" s="484"/>
      <c r="AB54" s="484"/>
      <c r="AC54" s="484"/>
      <c r="AD54" s="484"/>
      <c r="AE54" s="484"/>
      <c r="AF54" s="484"/>
      <c r="AG54" s="484"/>
    </row>
    <row r="55" spans="1:33" s="485" customFormat="1" ht="15.75" customHeight="1" x14ac:dyDescent="0.2">
      <c r="A55" s="725"/>
      <c r="Q55" s="485" t="str">
        <f>"NIP. "&amp;Q9</f>
        <v>NIP. 19690921 199503 1 001</v>
      </c>
      <c r="Y55" s="484"/>
      <c r="Z55" s="484"/>
      <c r="AA55" s="484"/>
      <c r="AB55" s="484"/>
      <c r="AC55" s="484"/>
      <c r="AD55" s="484"/>
      <c r="AE55" s="484"/>
      <c r="AF55" s="484"/>
      <c r="AG55" s="484"/>
    </row>
    <row r="56" spans="1:33" s="485" customFormat="1" ht="15.75" customHeight="1" x14ac:dyDescent="0.2">
      <c r="A56" s="725"/>
      <c r="Y56" s="484"/>
      <c r="Z56" s="484"/>
      <c r="AA56" s="484"/>
      <c r="AB56" s="484"/>
      <c r="AC56" s="484"/>
      <c r="AD56" s="484"/>
      <c r="AE56" s="484"/>
      <c r="AF56" s="484"/>
      <c r="AG56" s="484"/>
    </row>
  </sheetData>
  <sheetProtection formatCells="0" formatColumns="0" formatRows="0" insertColumns="0" insertRows="0"/>
  <mergeCells count="187">
    <mergeCell ref="X23:X25"/>
    <mergeCell ref="X26:X28"/>
    <mergeCell ref="A9:B9"/>
    <mergeCell ref="M9:N9"/>
    <mergeCell ref="A10:B10"/>
    <mergeCell ref="M10:N10"/>
    <mergeCell ref="A11:B11"/>
    <mergeCell ref="M11:N11"/>
    <mergeCell ref="S15:T15"/>
    <mergeCell ref="U15:V15"/>
    <mergeCell ref="A16:X16"/>
    <mergeCell ref="B17:C17"/>
    <mergeCell ref="D17:E17"/>
    <mergeCell ref="G17:H17"/>
    <mergeCell ref="Q17:R17"/>
    <mergeCell ref="S17:T17"/>
    <mergeCell ref="U17:V19"/>
    <mergeCell ref="W17:W19"/>
    <mergeCell ref="B15:C15"/>
    <mergeCell ref="D15:E15"/>
    <mergeCell ref="G15:H15"/>
    <mergeCell ref="I15:L15"/>
    <mergeCell ref="M15:N15"/>
    <mergeCell ref="Q15:R15"/>
    <mergeCell ref="A1:X1"/>
    <mergeCell ref="A2:X2"/>
    <mergeCell ref="D5:I5"/>
    <mergeCell ref="A7:L7"/>
    <mergeCell ref="M7:X7"/>
    <mergeCell ref="A8:B8"/>
    <mergeCell ref="M8:N8"/>
    <mergeCell ref="O13:O14"/>
    <mergeCell ref="P13:P14"/>
    <mergeCell ref="Q13:R14"/>
    <mergeCell ref="S13:T14"/>
    <mergeCell ref="U13:X13"/>
    <mergeCell ref="U14:V14"/>
    <mergeCell ref="A12:B12"/>
    <mergeCell ref="M12:N12"/>
    <mergeCell ref="A13:A14"/>
    <mergeCell ref="B13:C14"/>
    <mergeCell ref="D13:E14"/>
    <mergeCell ref="F13:F14"/>
    <mergeCell ref="G13:H14"/>
    <mergeCell ref="I13:L14"/>
    <mergeCell ref="M13:N14"/>
    <mergeCell ref="S19:T19"/>
    <mergeCell ref="X17:X19"/>
    <mergeCell ref="B20:C20"/>
    <mergeCell ref="D20:E20"/>
    <mergeCell ref="G20:H20"/>
    <mergeCell ref="Q20:R20"/>
    <mergeCell ref="S20:T20"/>
    <mergeCell ref="B18:C18"/>
    <mergeCell ref="D18:E18"/>
    <mergeCell ref="G18:H18"/>
    <mergeCell ref="Q18:R18"/>
    <mergeCell ref="S18:T18"/>
    <mergeCell ref="B19:C19"/>
    <mergeCell ref="D19:E19"/>
    <mergeCell ref="G19:H19"/>
    <mergeCell ref="Q19:R19"/>
    <mergeCell ref="X20:X22"/>
    <mergeCell ref="Q22:R22"/>
    <mergeCell ref="S22:T22"/>
    <mergeCell ref="U20:V22"/>
    <mergeCell ref="W20:W22"/>
    <mergeCell ref="B21:C21"/>
    <mergeCell ref="D21:E21"/>
    <mergeCell ref="G21:H21"/>
    <mergeCell ref="Q21:R21"/>
    <mergeCell ref="S21:T21"/>
    <mergeCell ref="B22:C22"/>
    <mergeCell ref="D22:E22"/>
    <mergeCell ref="G22:H22"/>
    <mergeCell ref="Q25:R25"/>
    <mergeCell ref="S25:T25"/>
    <mergeCell ref="U23:V25"/>
    <mergeCell ref="W23:W25"/>
    <mergeCell ref="B24:C24"/>
    <mergeCell ref="D24:E24"/>
    <mergeCell ref="G24:H24"/>
    <mergeCell ref="Q24:R24"/>
    <mergeCell ref="S24:T24"/>
    <mergeCell ref="B25:C25"/>
    <mergeCell ref="D25:E25"/>
    <mergeCell ref="G25:H25"/>
    <mergeCell ref="B23:C23"/>
    <mergeCell ref="D23:E23"/>
    <mergeCell ref="G23:H23"/>
    <mergeCell ref="Q23:R23"/>
    <mergeCell ref="S23:T23"/>
    <mergeCell ref="Q28:R28"/>
    <mergeCell ref="S28:T28"/>
    <mergeCell ref="B29:C29"/>
    <mergeCell ref="D29:E29"/>
    <mergeCell ref="G29:H29"/>
    <mergeCell ref="Q29:R29"/>
    <mergeCell ref="S29:T29"/>
    <mergeCell ref="U26:V28"/>
    <mergeCell ref="W26:W28"/>
    <mergeCell ref="B27:C27"/>
    <mergeCell ref="D27:E27"/>
    <mergeCell ref="G27:H27"/>
    <mergeCell ref="Q27:R27"/>
    <mergeCell ref="S27:T27"/>
    <mergeCell ref="B28:C28"/>
    <mergeCell ref="D28:E28"/>
    <mergeCell ref="G28:H28"/>
    <mergeCell ref="B26:C26"/>
    <mergeCell ref="D26:E26"/>
    <mergeCell ref="G26:H26"/>
    <mergeCell ref="Q26:R26"/>
    <mergeCell ref="S26:T26"/>
    <mergeCell ref="Q31:R31"/>
    <mergeCell ref="S31:T31"/>
    <mergeCell ref="A32:V32"/>
    <mergeCell ref="A33:X33"/>
    <mergeCell ref="B34:C34"/>
    <mergeCell ref="D34:E34"/>
    <mergeCell ref="G34:H34"/>
    <mergeCell ref="Q34:R34"/>
    <mergeCell ref="S34:T34"/>
    <mergeCell ref="U29:V31"/>
    <mergeCell ref="W29:W31"/>
    <mergeCell ref="B30:C30"/>
    <mergeCell ref="D30:E30"/>
    <mergeCell ref="G30:H30"/>
    <mergeCell ref="Q30:R30"/>
    <mergeCell ref="S30:T30"/>
    <mergeCell ref="B31:C31"/>
    <mergeCell ref="D31:E31"/>
    <mergeCell ref="G31:H31"/>
    <mergeCell ref="A45:X45"/>
    <mergeCell ref="Q42:R42"/>
    <mergeCell ref="S42:T42"/>
    <mergeCell ref="A43:V43"/>
    <mergeCell ref="W43:X43"/>
    <mergeCell ref="A44:V44"/>
    <mergeCell ref="W44:X44"/>
    <mergeCell ref="B35:C35"/>
    <mergeCell ref="D35:E35"/>
    <mergeCell ref="G35:H35"/>
    <mergeCell ref="Q35:R35"/>
    <mergeCell ref="S35:T35"/>
    <mergeCell ref="B42:C42"/>
    <mergeCell ref="D42:E42"/>
    <mergeCell ref="G42:H42"/>
    <mergeCell ref="B36:C36"/>
    <mergeCell ref="B40:C40"/>
    <mergeCell ref="B41:C41"/>
    <mergeCell ref="D36:E36"/>
    <mergeCell ref="D40:E40"/>
    <mergeCell ref="D41:E41"/>
    <mergeCell ref="G36:H36"/>
    <mergeCell ref="G40:H40"/>
    <mergeCell ref="G41:H41"/>
    <mergeCell ref="Q40:R40"/>
    <mergeCell ref="S40:T40"/>
    <mergeCell ref="Q41:R41"/>
    <mergeCell ref="S41:T41"/>
    <mergeCell ref="U34:V36"/>
    <mergeCell ref="W34:W36"/>
    <mergeCell ref="X34:X36"/>
    <mergeCell ref="U40:V42"/>
    <mergeCell ref="W40:W42"/>
    <mergeCell ref="X40:X42"/>
    <mergeCell ref="U37:V39"/>
    <mergeCell ref="W37:W39"/>
    <mergeCell ref="X37:X39"/>
    <mergeCell ref="Q36:R36"/>
    <mergeCell ref="S36:T36"/>
    <mergeCell ref="B37:C37"/>
    <mergeCell ref="B38:C38"/>
    <mergeCell ref="B39:C39"/>
    <mergeCell ref="D37:E37"/>
    <mergeCell ref="G37:H37"/>
    <mergeCell ref="Q37:R37"/>
    <mergeCell ref="S37:T37"/>
    <mergeCell ref="G38:H38"/>
    <mergeCell ref="Q38:R38"/>
    <mergeCell ref="S38:T38"/>
    <mergeCell ref="G39:H39"/>
    <mergeCell ref="Q39:R39"/>
    <mergeCell ref="S39:T39"/>
    <mergeCell ref="D38:E38"/>
    <mergeCell ref="D39:E39"/>
  </mergeCells>
  <printOptions horizontalCentered="1"/>
  <pageMargins left="0.51181102362204722" right="0.51181102362204722" top="0.74803149606299213" bottom="0.51181102362204722" header="0" footer="0"/>
  <pageSetup paperSize="9" scale="58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T31"/>
  <sheetViews>
    <sheetView topLeftCell="A10" zoomScaleNormal="100" workbookViewId="0">
      <selection activeCell="H19" sqref="H19:Q19"/>
    </sheetView>
  </sheetViews>
  <sheetFormatPr defaultColWidth="14.42578125" defaultRowHeight="15" customHeight="1" x14ac:dyDescent="0.2"/>
  <cols>
    <col min="1" max="1" width="5.28515625" style="659" customWidth="1"/>
    <col min="2" max="2" width="14.42578125" style="660" customWidth="1"/>
    <col min="3" max="3" width="2.42578125" style="660" customWidth="1"/>
    <col min="4" max="4" width="25.85546875" style="660" customWidth="1"/>
    <col min="5" max="5" width="5.85546875" style="660" customWidth="1"/>
    <col min="6" max="6" width="4.5703125" style="660" customWidth="1"/>
    <col min="7" max="7" width="4" style="660" customWidth="1"/>
    <col min="8" max="8" width="20.140625" style="660" customWidth="1"/>
    <col min="9" max="9" width="2.42578125" style="660" customWidth="1"/>
    <col min="10" max="14" width="5.85546875" style="660" customWidth="1"/>
    <col min="15" max="15" width="3.42578125" style="660" customWidth="1"/>
    <col min="16" max="16" width="2.5703125" style="660" customWidth="1"/>
    <col min="17" max="17" width="3.28515625" style="660" customWidth="1"/>
    <col min="18" max="18" width="5.140625" style="658" customWidth="1"/>
    <col min="19" max="19" width="19.5703125" style="658" customWidth="1"/>
    <col min="20" max="20" width="19" style="658" customWidth="1"/>
    <col min="21" max="26" width="8.7109375" style="658" customWidth="1"/>
    <col min="27" max="16384" width="14.42578125" style="658"/>
  </cols>
  <sheetData>
    <row r="1" spans="1:20" ht="15" customHeight="1" x14ac:dyDescent="0.2">
      <c r="A1" s="1062" t="s">
        <v>615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  <c r="L1" s="1062"/>
      <c r="M1" s="1062"/>
      <c r="N1" s="1062"/>
      <c r="O1" s="1062"/>
      <c r="P1" s="1062"/>
      <c r="Q1" s="1062"/>
      <c r="R1" s="662"/>
      <c r="S1" s="662"/>
      <c r="T1" s="662"/>
    </row>
    <row r="2" spans="1:20" ht="15" customHeight="1" x14ac:dyDescent="0.2">
      <c r="A2" s="1062" t="str">
        <f>"JABATAN "&amp;UPPER('DATA SKP2'!G9)</f>
        <v>JABATAN GURU</v>
      </c>
      <c r="B2" s="1062"/>
      <c r="C2" s="1062"/>
      <c r="D2" s="1062"/>
      <c r="E2" s="1062"/>
      <c r="F2" s="1062"/>
      <c r="G2" s="1062"/>
      <c r="H2" s="1062"/>
      <c r="I2" s="1062"/>
      <c r="J2" s="1062"/>
      <c r="K2" s="1062"/>
      <c r="L2" s="1062"/>
      <c r="M2" s="1062"/>
      <c r="N2" s="1062"/>
      <c r="O2" s="1062"/>
      <c r="P2" s="1062"/>
      <c r="Q2" s="1062"/>
      <c r="R2" s="662"/>
      <c r="S2" s="662"/>
      <c r="T2" s="662"/>
    </row>
    <row r="3" spans="1:20" ht="15" customHeight="1" x14ac:dyDescent="0.2">
      <c r="A3" s="663"/>
      <c r="B3" s="663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662"/>
      <c r="S3" s="662"/>
      <c r="T3" s="662"/>
    </row>
    <row r="4" spans="1:20" ht="15" customHeight="1" x14ac:dyDescent="0.2">
      <c r="A4" s="663"/>
      <c r="B4" s="663"/>
      <c r="C4" s="540"/>
      <c r="D4" s="540"/>
      <c r="E4" s="540"/>
      <c r="F4" s="540"/>
      <c r="G4" s="540"/>
      <c r="H4" s="540"/>
      <c r="I4" s="540"/>
      <c r="J4" s="540" t="s">
        <v>419</v>
      </c>
      <c r="K4" s="540"/>
      <c r="L4" s="540"/>
      <c r="M4" s="540"/>
      <c r="N4" s="540"/>
      <c r="O4" s="540"/>
      <c r="P4" s="540"/>
      <c r="Q4" s="540"/>
      <c r="R4" s="662"/>
      <c r="S4" s="662"/>
      <c r="T4" s="662"/>
    </row>
    <row r="5" spans="1:20" ht="15" customHeight="1" x14ac:dyDescent="0.2">
      <c r="A5" s="540" t="s">
        <v>420</v>
      </c>
      <c r="B5" s="540"/>
      <c r="C5" s="540" t="s">
        <v>16</v>
      </c>
      <c r="D5" s="1063" t="str">
        <f>'PENILAIAN SKP'!D5:I5</f>
        <v>MTs Negeri 5 Sleman</v>
      </c>
      <c r="E5" s="1063"/>
      <c r="F5" s="1063"/>
      <c r="G5" s="1063"/>
      <c r="H5" s="540"/>
      <c r="I5" s="540"/>
      <c r="J5" s="540" t="str">
        <f>'PENILAIAN SKP'!Q5</f>
        <v>01 Juli s.d. 31 Desember 2021</v>
      </c>
      <c r="K5" s="540"/>
      <c r="L5" s="540"/>
      <c r="M5" s="540"/>
      <c r="N5" s="540"/>
      <c r="O5" s="540"/>
      <c r="P5" s="540"/>
      <c r="Q5" s="540"/>
      <c r="R5" s="662"/>
      <c r="S5" s="662"/>
      <c r="T5" s="662"/>
    </row>
    <row r="6" spans="1:20" ht="15" customHeight="1" x14ac:dyDescent="0.2">
      <c r="A6" s="663"/>
      <c r="B6" s="540"/>
      <c r="C6" s="540"/>
      <c r="D6" s="664"/>
      <c r="E6" s="664"/>
      <c r="F6" s="664"/>
      <c r="G6" s="664"/>
      <c r="H6" s="540"/>
      <c r="I6" s="540"/>
      <c r="J6" s="665"/>
      <c r="K6" s="540"/>
      <c r="L6" s="540"/>
      <c r="M6" s="540"/>
      <c r="N6" s="540"/>
      <c r="O6" s="540"/>
      <c r="P6" s="540"/>
      <c r="Q6" s="540"/>
      <c r="R6" s="662"/>
      <c r="S6" s="662"/>
      <c r="T6" s="662"/>
    </row>
    <row r="7" spans="1:20" ht="15" customHeight="1" x14ac:dyDescent="0.2">
      <c r="A7" s="1064" t="s">
        <v>85</v>
      </c>
      <c r="B7" s="1065"/>
      <c r="C7" s="1065"/>
      <c r="D7" s="1065"/>
      <c r="E7" s="1065"/>
      <c r="F7" s="1065"/>
      <c r="G7" s="1066"/>
      <c r="H7" s="1064" t="s">
        <v>86</v>
      </c>
      <c r="I7" s="1065"/>
      <c r="J7" s="1065"/>
      <c r="K7" s="1065"/>
      <c r="L7" s="1065"/>
      <c r="M7" s="1065"/>
      <c r="N7" s="1065"/>
      <c r="O7" s="1065"/>
      <c r="P7" s="1065"/>
      <c r="Q7" s="1066"/>
      <c r="R7" s="662"/>
      <c r="S7" s="662"/>
      <c r="T7" s="662"/>
    </row>
    <row r="8" spans="1:20" ht="15" customHeight="1" x14ac:dyDescent="0.2">
      <c r="A8" s="1067" t="s">
        <v>2</v>
      </c>
      <c r="B8" s="1068"/>
      <c r="C8" s="666" t="s">
        <v>16</v>
      </c>
      <c r="D8" s="667" t="str">
        <f>'PENILAIAN SKP'!D8</f>
        <v>Sirajudin, S.Pd</v>
      </c>
      <c r="E8" s="668"/>
      <c r="F8" s="668"/>
      <c r="G8" s="669"/>
      <c r="H8" s="670" t="s">
        <v>2</v>
      </c>
      <c r="I8" s="666" t="s">
        <v>16</v>
      </c>
      <c r="J8" s="671" t="str">
        <f>'PENILAIAN SKP'!Q8</f>
        <v>Drs. Busyroni Majid, M.Si</v>
      </c>
      <c r="K8" s="672"/>
      <c r="L8" s="672"/>
      <c r="M8" s="672"/>
      <c r="N8" s="672"/>
      <c r="O8" s="672"/>
      <c r="P8" s="672"/>
      <c r="Q8" s="673"/>
      <c r="R8" s="662"/>
      <c r="S8" s="662"/>
      <c r="T8" s="662"/>
    </row>
    <row r="9" spans="1:20" ht="15" customHeight="1" x14ac:dyDescent="0.2">
      <c r="A9" s="1067" t="s">
        <v>3</v>
      </c>
      <c r="B9" s="1068"/>
      <c r="C9" s="666" t="s">
        <v>16</v>
      </c>
      <c r="D9" s="667" t="str">
        <f>'PENILAIAN SKP'!D9</f>
        <v>19730115 200710 1 001</v>
      </c>
      <c r="E9" s="668"/>
      <c r="F9" s="668"/>
      <c r="G9" s="669"/>
      <c r="H9" s="670" t="s">
        <v>3</v>
      </c>
      <c r="I9" s="666" t="s">
        <v>16</v>
      </c>
      <c r="J9" s="671" t="str">
        <f>'PENILAIAN SKP'!Q9</f>
        <v>19690921 199503 1 001</v>
      </c>
      <c r="K9" s="672"/>
      <c r="L9" s="672"/>
      <c r="M9" s="672"/>
      <c r="N9" s="672"/>
      <c r="O9" s="672"/>
      <c r="P9" s="672"/>
      <c r="Q9" s="673"/>
      <c r="R9" s="662"/>
      <c r="S9" s="662"/>
      <c r="T9" s="662"/>
    </row>
    <row r="10" spans="1:20" ht="15" customHeight="1" x14ac:dyDescent="0.2">
      <c r="A10" s="1067" t="s">
        <v>106</v>
      </c>
      <c r="B10" s="1068"/>
      <c r="C10" s="666" t="s">
        <v>16</v>
      </c>
      <c r="D10" s="667" t="str">
        <f>'PENILAIAN SKP'!D10</f>
        <v>Penata Muda, Gol. III/a</v>
      </c>
      <c r="E10" s="668"/>
      <c r="F10" s="668"/>
      <c r="G10" s="669"/>
      <c r="H10" s="670" t="s">
        <v>106</v>
      </c>
      <c r="I10" s="666" t="s">
        <v>16</v>
      </c>
      <c r="J10" s="671" t="str">
        <f>'PENILAIAN SKP'!Q10</f>
        <v>Pembina, Gol. IV/a</v>
      </c>
      <c r="K10" s="672"/>
      <c r="L10" s="672"/>
      <c r="M10" s="672"/>
      <c r="N10" s="672"/>
      <c r="O10" s="672"/>
      <c r="P10" s="672"/>
      <c r="Q10" s="673"/>
      <c r="R10" s="662"/>
      <c r="S10" s="662"/>
      <c r="T10" s="662"/>
    </row>
    <row r="11" spans="1:20" ht="15" customHeight="1" x14ac:dyDescent="0.2">
      <c r="A11" s="1067" t="s">
        <v>4</v>
      </c>
      <c r="B11" s="1068"/>
      <c r="C11" s="666" t="s">
        <v>16</v>
      </c>
      <c r="D11" s="667" t="str">
        <f>'PENILAIAN SKP'!D11</f>
        <v>Guru Pertama</v>
      </c>
      <c r="E11" s="668"/>
      <c r="F11" s="668"/>
      <c r="G11" s="669"/>
      <c r="H11" s="670" t="s">
        <v>4</v>
      </c>
      <c r="I11" s="666" t="s">
        <v>16</v>
      </c>
      <c r="J11" s="671" t="str">
        <f>'PENILAIAN SKP'!Q11</f>
        <v>Kepala Madrasah</v>
      </c>
      <c r="K11" s="672"/>
      <c r="L11" s="672"/>
      <c r="M11" s="672"/>
      <c r="N11" s="672"/>
      <c r="O11" s="672"/>
      <c r="P11" s="672"/>
      <c r="Q11" s="673"/>
      <c r="R11" s="662"/>
      <c r="S11" s="662"/>
      <c r="T11" s="662"/>
    </row>
    <row r="12" spans="1:20" ht="15" customHeight="1" x14ac:dyDescent="0.2">
      <c r="A12" s="1069" t="s">
        <v>5</v>
      </c>
      <c r="B12" s="1070"/>
      <c r="C12" s="674" t="s">
        <v>16</v>
      </c>
      <c r="D12" s="667" t="str">
        <f>'PENILAIAN SKP'!D12</f>
        <v>MTs Negeri 5 Sleman</v>
      </c>
      <c r="E12" s="675"/>
      <c r="F12" s="675"/>
      <c r="G12" s="674"/>
      <c r="H12" s="676" t="s">
        <v>5</v>
      </c>
      <c r="I12" s="674" t="s">
        <v>16</v>
      </c>
      <c r="J12" s="671" t="str">
        <f>'PENILAIAN SKP'!Q12</f>
        <v>MTs Negeri 5 Sleman</v>
      </c>
      <c r="K12" s="677"/>
      <c r="L12" s="677"/>
      <c r="M12" s="677"/>
      <c r="N12" s="677"/>
      <c r="O12" s="677"/>
      <c r="P12" s="677"/>
      <c r="Q12" s="678"/>
      <c r="R12" s="662"/>
      <c r="S12" s="662"/>
      <c r="T12" s="662"/>
    </row>
    <row r="13" spans="1:20" s="661" customFormat="1" ht="24" customHeight="1" x14ac:dyDescent="0.2">
      <c r="A13" s="912" t="s">
        <v>1</v>
      </c>
      <c r="B13" s="1375" t="s">
        <v>616</v>
      </c>
      <c r="C13" s="1375"/>
      <c r="D13" s="1375"/>
      <c r="E13" s="1375"/>
      <c r="F13" s="1375"/>
      <c r="G13" s="1375"/>
      <c r="H13" s="1080" t="s">
        <v>685</v>
      </c>
      <c r="I13" s="1080"/>
      <c r="J13" s="1080"/>
      <c r="K13" s="1080"/>
      <c r="L13" s="1080"/>
      <c r="M13" s="1080"/>
      <c r="N13" s="1080"/>
      <c r="O13" s="1080"/>
      <c r="P13" s="1080"/>
      <c r="Q13" s="1080"/>
      <c r="R13" s="679"/>
      <c r="S13" s="679"/>
      <c r="T13" s="679"/>
    </row>
    <row r="14" spans="1:20" x14ac:dyDescent="0.2">
      <c r="A14" s="913" t="s">
        <v>354</v>
      </c>
      <c r="B14" s="1376" t="s">
        <v>355</v>
      </c>
      <c r="C14" s="1376"/>
      <c r="D14" s="1376"/>
      <c r="E14" s="1376"/>
      <c r="F14" s="1376"/>
      <c r="G14" s="1376"/>
      <c r="H14" s="1377" t="s">
        <v>356</v>
      </c>
      <c r="I14" s="1378"/>
      <c r="J14" s="1378"/>
      <c r="K14" s="1378"/>
      <c r="L14" s="1378"/>
      <c r="M14" s="1378"/>
      <c r="N14" s="1378"/>
      <c r="O14" s="1378"/>
      <c r="P14" s="1378"/>
      <c r="Q14" s="1378"/>
      <c r="R14" s="662"/>
      <c r="S14" s="662"/>
      <c r="T14" s="662"/>
    </row>
    <row r="15" spans="1:20" ht="30" customHeight="1" x14ac:dyDescent="0.2">
      <c r="A15" s="914">
        <v>1</v>
      </c>
      <c r="B15" s="1368" t="s">
        <v>27</v>
      </c>
      <c r="C15" s="1368"/>
      <c r="D15" s="1368"/>
      <c r="E15" s="1368"/>
      <c r="F15" s="1368"/>
      <c r="G15" s="1368"/>
      <c r="H15" s="1367">
        <v>101</v>
      </c>
      <c r="I15" s="1367"/>
      <c r="J15" s="1367"/>
      <c r="K15" s="1367"/>
      <c r="L15" s="1367"/>
      <c r="M15" s="1367"/>
      <c r="N15" s="1367"/>
      <c r="O15" s="1367"/>
      <c r="P15" s="1367"/>
      <c r="Q15" s="1367"/>
      <c r="R15" s="662"/>
      <c r="S15" s="1373" t="s">
        <v>400</v>
      </c>
      <c r="T15" s="1374"/>
    </row>
    <row r="16" spans="1:20" ht="30" customHeight="1" x14ac:dyDescent="0.2">
      <c r="A16" s="914">
        <v>2</v>
      </c>
      <c r="B16" s="1368" t="s">
        <v>617</v>
      </c>
      <c r="C16" s="1368"/>
      <c r="D16" s="1368"/>
      <c r="E16" s="1368"/>
      <c r="F16" s="1368"/>
      <c r="G16" s="1368"/>
      <c r="H16" s="1367">
        <v>101</v>
      </c>
      <c r="I16" s="1367"/>
      <c r="J16" s="1367"/>
      <c r="K16" s="1367"/>
      <c r="L16" s="1367"/>
      <c r="M16" s="1367"/>
      <c r="N16" s="1367"/>
      <c r="O16" s="1367"/>
      <c r="P16" s="1367"/>
      <c r="Q16" s="1367"/>
      <c r="R16" s="662"/>
      <c r="S16" s="915" t="s">
        <v>401</v>
      </c>
      <c r="T16" s="915" t="s">
        <v>402</v>
      </c>
    </row>
    <row r="17" spans="1:20" ht="30" customHeight="1" x14ac:dyDescent="0.2">
      <c r="A17" s="914">
        <v>3</v>
      </c>
      <c r="B17" s="1368" t="s">
        <v>30</v>
      </c>
      <c r="C17" s="1368"/>
      <c r="D17" s="1368"/>
      <c r="E17" s="1368"/>
      <c r="F17" s="1368"/>
      <c r="G17" s="1368"/>
      <c r="H17" s="1367">
        <v>104</v>
      </c>
      <c r="I17" s="1367"/>
      <c r="J17" s="1367"/>
      <c r="K17" s="1367"/>
      <c r="L17" s="1367"/>
      <c r="M17" s="1367"/>
      <c r="N17" s="1367"/>
      <c r="O17" s="1367"/>
      <c r="P17" s="1367"/>
      <c r="Q17" s="1367"/>
      <c r="R17" s="662"/>
      <c r="S17" s="916" t="s">
        <v>403</v>
      </c>
      <c r="T17" s="917" t="s">
        <v>404</v>
      </c>
    </row>
    <row r="18" spans="1:20" ht="30" customHeight="1" x14ac:dyDescent="0.2">
      <c r="A18" s="914">
        <v>4</v>
      </c>
      <c r="B18" s="1368" t="s">
        <v>32</v>
      </c>
      <c r="C18" s="1368"/>
      <c r="D18" s="1368"/>
      <c r="E18" s="1368"/>
      <c r="F18" s="1368"/>
      <c r="G18" s="1368"/>
      <c r="H18" s="1367">
        <v>101</v>
      </c>
      <c r="I18" s="1367"/>
      <c r="J18" s="1367"/>
      <c r="K18" s="1367"/>
      <c r="L18" s="1367"/>
      <c r="M18" s="1367"/>
      <c r="N18" s="1367"/>
      <c r="O18" s="1367"/>
      <c r="P18" s="1367"/>
      <c r="Q18" s="1367"/>
      <c r="R18" s="662"/>
      <c r="S18" s="916" t="s">
        <v>405</v>
      </c>
      <c r="T18" s="917" t="s">
        <v>406</v>
      </c>
    </row>
    <row r="19" spans="1:20" ht="30" customHeight="1" x14ac:dyDescent="0.2">
      <c r="A19" s="914">
        <v>5</v>
      </c>
      <c r="B19" s="1368" t="s">
        <v>33</v>
      </c>
      <c r="C19" s="1368"/>
      <c r="D19" s="1368"/>
      <c r="E19" s="1368"/>
      <c r="F19" s="1368"/>
      <c r="G19" s="1368"/>
      <c r="H19" s="1367"/>
      <c r="I19" s="1367"/>
      <c r="J19" s="1367"/>
      <c r="K19" s="1367"/>
      <c r="L19" s="1367"/>
      <c r="M19" s="1367"/>
      <c r="N19" s="1367"/>
      <c r="O19" s="1367"/>
      <c r="P19" s="1367"/>
      <c r="Q19" s="1367"/>
      <c r="R19" s="662"/>
      <c r="S19" s="918" t="s">
        <v>407</v>
      </c>
      <c r="T19" s="919" t="s">
        <v>408</v>
      </c>
    </row>
    <row r="20" spans="1:20" ht="30" customHeight="1" x14ac:dyDescent="0.2">
      <c r="A20" s="1369" t="s">
        <v>618</v>
      </c>
      <c r="B20" s="1370"/>
      <c r="C20" s="1370"/>
      <c r="D20" s="1370"/>
      <c r="E20" s="1370"/>
      <c r="F20" s="1370"/>
      <c r="G20" s="1371"/>
      <c r="H20" s="1372">
        <f>IF(H19="-",AVERAGE(H15:Q18),AVERAGE(H15:Q19))</f>
        <v>101.75</v>
      </c>
      <c r="I20" s="1372"/>
      <c r="J20" s="1372"/>
      <c r="K20" s="1372"/>
      <c r="L20" s="1372"/>
      <c r="M20" s="1372"/>
      <c r="N20" s="1372"/>
      <c r="O20" s="1372"/>
      <c r="P20" s="1372"/>
      <c r="Q20" s="1372"/>
      <c r="R20" s="662"/>
      <c r="S20" s="918" t="s">
        <v>409</v>
      </c>
      <c r="T20" s="919" t="s">
        <v>410</v>
      </c>
    </row>
    <row r="21" spans="1:20" ht="15.75" customHeight="1" x14ac:dyDescent="0.2">
      <c r="A21" s="663"/>
      <c r="B21" s="540"/>
      <c r="C21" s="540"/>
      <c r="D21" s="540"/>
      <c r="E21" s="540"/>
      <c r="F21" s="540"/>
      <c r="G21" s="540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662"/>
      <c r="S21" s="918" t="s">
        <v>411</v>
      </c>
      <c r="T21" s="919" t="s">
        <v>412</v>
      </c>
    </row>
    <row r="22" spans="1:20" ht="15.75" customHeight="1" x14ac:dyDescent="0.2">
      <c r="A22" s="663"/>
      <c r="B22" s="540"/>
      <c r="C22" s="540"/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662"/>
      <c r="S22" s="662"/>
      <c r="T22" s="662"/>
    </row>
    <row r="23" spans="1:20" ht="15.75" customHeight="1" x14ac:dyDescent="0.2">
      <c r="A23" s="663"/>
      <c r="B23" s="540"/>
      <c r="C23" s="540"/>
      <c r="D23" s="540"/>
      <c r="E23" s="540"/>
      <c r="F23" s="540"/>
      <c r="G23" s="540"/>
      <c r="H23" s="540"/>
      <c r="I23" s="540"/>
      <c r="J23" s="540" t="str">
        <f>"Sleman, "&amp;PERIODE!E18</f>
        <v>Sleman, 03 Januari  2022</v>
      </c>
      <c r="K23" s="540"/>
      <c r="L23" s="540"/>
      <c r="M23" s="540"/>
      <c r="N23" s="540"/>
      <c r="O23" s="540"/>
      <c r="P23" s="540"/>
      <c r="Q23" s="540"/>
      <c r="R23" s="662"/>
      <c r="S23" s="662"/>
      <c r="T23" s="662"/>
    </row>
    <row r="24" spans="1:20" ht="15.75" customHeight="1" x14ac:dyDescent="0.2">
      <c r="A24" s="663"/>
      <c r="B24" s="540"/>
      <c r="C24" s="540"/>
      <c r="D24" s="540"/>
      <c r="E24" s="540"/>
      <c r="F24" s="540"/>
      <c r="G24" s="540"/>
      <c r="H24" s="540"/>
      <c r="I24" s="540"/>
      <c r="J24" s="540" t="s">
        <v>523</v>
      </c>
      <c r="K24" s="540"/>
      <c r="L24" s="540"/>
      <c r="M24" s="540"/>
      <c r="N24" s="540"/>
      <c r="O24" s="540"/>
      <c r="P24" s="540"/>
      <c r="Q24" s="540"/>
      <c r="R24" s="662"/>
      <c r="S24" s="662"/>
      <c r="T24" s="662"/>
    </row>
    <row r="25" spans="1:20" ht="15.75" customHeight="1" x14ac:dyDescent="0.2">
      <c r="A25" s="663"/>
      <c r="B25" s="540"/>
      <c r="C25" s="540"/>
      <c r="D25" s="540"/>
      <c r="E25" s="540"/>
      <c r="F25" s="540"/>
      <c r="G25" s="540"/>
      <c r="H25" s="540"/>
      <c r="I25" s="540"/>
      <c r="J25" s="540"/>
      <c r="K25" s="540"/>
      <c r="L25" s="540"/>
      <c r="M25" s="540"/>
      <c r="N25" s="540"/>
      <c r="O25" s="540"/>
      <c r="P25" s="540"/>
      <c r="Q25" s="540"/>
      <c r="R25" s="662"/>
      <c r="S25" s="662"/>
      <c r="T25" s="662"/>
    </row>
    <row r="26" spans="1:20" ht="15.75" customHeight="1" x14ac:dyDescent="0.2">
      <c r="A26" s="663"/>
      <c r="B26" s="540"/>
      <c r="C26" s="540"/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662"/>
      <c r="S26" s="662"/>
      <c r="T26" s="662"/>
    </row>
    <row r="27" spans="1:20" ht="15.75" customHeight="1" x14ac:dyDescent="0.2">
      <c r="A27" s="663"/>
      <c r="B27" s="540"/>
      <c r="C27" s="540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/>
      <c r="Q27" s="540"/>
      <c r="R27" s="662"/>
      <c r="S27" s="662"/>
      <c r="T27" s="662"/>
    </row>
    <row r="28" spans="1:20" ht="15.75" customHeight="1" x14ac:dyDescent="0.2">
      <c r="A28" s="663"/>
      <c r="B28" s="540"/>
      <c r="C28" s="540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662"/>
      <c r="S28" s="662"/>
      <c r="T28" s="662"/>
    </row>
    <row r="29" spans="1:20" ht="15.75" customHeight="1" x14ac:dyDescent="0.2">
      <c r="A29" s="663"/>
      <c r="B29" s="540"/>
      <c r="C29" s="540"/>
      <c r="D29" s="540"/>
      <c r="E29" s="540"/>
      <c r="F29" s="540"/>
      <c r="G29" s="540"/>
      <c r="H29" s="540"/>
      <c r="I29" s="540"/>
      <c r="J29" s="540" t="str">
        <f>J8</f>
        <v>Drs. Busyroni Majid, M.Si</v>
      </c>
      <c r="K29" s="540"/>
      <c r="L29" s="540"/>
      <c r="M29" s="540"/>
      <c r="N29" s="540"/>
      <c r="O29" s="540"/>
      <c r="P29" s="540"/>
      <c r="Q29" s="540"/>
      <c r="R29" s="662"/>
      <c r="S29" s="662"/>
      <c r="T29" s="662"/>
    </row>
    <row r="30" spans="1:20" ht="15.75" customHeight="1" x14ac:dyDescent="0.2">
      <c r="A30" s="663"/>
      <c r="B30" s="540"/>
      <c r="C30" s="540"/>
      <c r="D30" s="540"/>
      <c r="E30" s="540"/>
      <c r="F30" s="540"/>
      <c r="G30" s="540"/>
      <c r="H30" s="540"/>
      <c r="I30" s="540"/>
      <c r="J30" s="540" t="str">
        <f>"NIP. "&amp;J9</f>
        <v>NIP. 19690921 199503 1 001</v>
      </c>
      <c r="K30" s="540"/>
      <c r="L30" s="540"/>
      <c r="M30" s="540"/>
      <c r="N30" s="540"/>
      <c r="O30" s="540"/>
      <c r="P30" s="540"/>
      <c r="Q30" s="540"/>
      <c r="R30" s="662"/>
      <c r="S30" s="662"/>
      <c r="T30" s="662"/>
    </row>
    <row r="31" spans="1:20" s="659" customFormat="1" ht="15.75" customHeight="1" x14ac:dyDescent="0.2">
      <c r="A31" s="663"/>
      <c r="B31" s="540"/>
      <c r="C31" s="540"/>
      <c r="D31" s="540"/>
      <c r="E31" s="540"/>
      <c r="F31" s="540"/>
      <c r="G31" s="540"/>
      <c r="H31" s="540"/>
      <c r="I31" s="540"/>
      <c r="J31" s="540"/>
      <c r="K31" s="540"/>
      <c r="L31" s="540"/>
      <c r="M31" s="540"/>
      <c r="N31" s="540"/>
      <c r="O31" s="540"/>
      <c r="P31" s="540"/>
      <c r="Q31" s="540"/>
      <c r="R31" s="663"/>
      <c r="S31" s="663"/>
      <c r="T31" s="663"/>
    </row>
  </sheetData>
  <sheetProtection algorithmName="SHA-512" hashValue="LIo1RmmHZVALLyLAqagcqu0i9pOJ0kzEgosRpauUroI9yh3zWzj8sKcEDVB2dXS0FRz6vb9r7s++B7vu2t9Vhg==" saltValue="tfphmtdwTerRK1pVdwuL4g==" spinCount="100000" sheet="1" objects="1" scenarios="1" formatCells="0" formatColumns="0" formatRows="0" insertColumns="0" insertRows="0"/>
  <mergeCells count="27">
    <mergeCell ref="S15:T15"/>
    <mergeCell ref="H13:Q13"/>
    <mergeCell ref="A1:Q1"/>
    <mergeCell ref="A2:Q2"/>
    <mergeCell ref="D5:G5"/>
    <mergeCell ref="A7:G7"/>
    <mergeCell ref="H7:Q7"/>
    <mergeCell ref="A8:B8"/>
    <mergeCell ref="A9:B9"/>
    <mergeCell ref="A10:B10"/>
    <mergeCell ref="A11:B11"/>
    <mergeCell ref="A12:B12"/>
    <mergeCell ref="B13:G13"/>
    <mergeCell ref="B14:G14"/>
    <mergeCell ref="H14:Q14"/>
    <mergeCell ref="B15:G15"/>
    <mergeCell ref="H15:Q15"/>
    <mergeCell ref="B16:G16"/>
    <mergeCell ref="H16:Q16"/>
    <mergeCell ref="A20:G20"/>
    <mergeCell ref="H20:Q20"/>
    <mergeCell ref="B17:G17"/>
    <mergeCell ref="H17:Q17"/>
    <mergeCell ref="B18:G18"/>
    <mergeCell ref="H18:Q18"/>
    <mergeCell ref="B19:G19"/>
    <mergeCell ref="H19:Q19"/>
  </mergeCells>
  <pageMargins left="0.70866141732283505" right="0.3" top="0.74803149606299202" bottom="0.511811023622047" header="0" footer="0"/>
  <pageSetup paperSize="9" scale="75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Z30"/>
  <sheetViews>
    <sheetView topLeftCell="A10" workbookViewId="0">
      <selection sqref="A1:Q1"/>
    </sheetView>
  </sheetViews>
  <sheetFormatPr defaultColWidth="0" defaultRowHeight="15" customHeight="1" zeroHeight="1" x14ac:dyDescent="0.2"/>
  <cols>
    <col min="1" max="1" width="5.28515625" style="663" customWidth="1"/>
    <col min="2" max="2" width="14.42578125" style="540" customWidth="1"/>
    <col min="3" max="3" width="2.42578125" style="540" customWidth="1"/>
    <col min="4" max="4" width="25.85546875" style="540" customWidth="1"/>
    <col min="5" max="5" width="5.42578125" style="540" customWidth="1"/>
    <col min="6" max="6" width="4.140625" style="540" customWidth="1"/>
    <col min="7" max="7" width="2.85546875" style="540" customWidth="1"/>
    <col min="8" max="8" width="20.140625" style="540" customWidth="1"/>
    <col min="9" max="9" width="2.42578125" style="540" customWidth="1"/>
    <col min="10" max="14" width="5.85546875" style="540" customWidth="1"/>
    <col min="15" max="15" width="3" style="540" customWidth="1"/>
    <col min="16" max="16" width="3.7109375" style="540" customWidth="1"/>
    <col min="17" max="17" width="2.140625" style="540" customWidth="1"/>
    <col min="18" max="20" width="8.7109375" style="662" customWidth="1"/>
    <col min="21" max="26" width="8.7109375" style="658" hidden="1" customWidth="1"/>
    <col min="27" max="16384" width="14.42578125" style="658" hidden="1"/>
  </cols>
  <sheetData>
    <row r="1" spans="1:20" ht="15" customHeight="1" x14ac:dyDescent="0.2">
      <c r="A1" s="1062" t="s">
        <v>634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  <c r="L1" s="1062"/>
      <c r="M1" s="1062"/>
      <c r="N1" s="1062"/>
      <c r="O1" s="1062"/>
      <c r="P1" s="1062"/>
      <c r="Q1" s="1062"/>
    </row>
    <row r="2" spans="1:20" ht="15" customHeight="1" x14ac:dyDescent="0.2">
      <c r="A2" s="1062" t="str">
        <f>'Penilaian Perilaku'!A2:Q2</f>
        <v>JABATAN GURU</v>
      </c>
      <c r="B2" s="1062"/>
      <c r="C2" s="1062"/>
      <c r="D2" s="1062"/>
      <c r="E2" s="1062"/>
      <c r="F2" s="1062"/>
      <c r="G2" s="1062"/>
      <c r="H2" s="1062"/>
      <c r="I2" s="1062"/>
      <c r="J2" s="1062"/>
      <c r="K2" s="1062"/>
      <c r="L2" s="1062"/>
      <c r="M2" s="1062"/>
      <c r="N2" s="1062"/>
      <c r="O2" s="1062"/>
      <c r="P2" s="1062"/>
      <c r="Q2" s="1062"/>
    </row>
    <row r="3" spans="1:20" ht="15" customHeight="1" x14ac:dyDescent="0.2">
      <c r="B3" s="663"/>
    </row>
    <row r="4" spans="1:20" ht="15" customHeight="1" x14ac:dyDescent="0.2">
      <c r="B4" s="663"/>
      <c r="J4" s="540" t="s">
        <v>419</v>
      </c>
    </row>
    <row r="5" spans="1:20" ht="15" customHeight="1" x14ac:dyDescent="0.2">
      <c r="A5" s="540" t="s">
        <v>420</v>
      </c>
      <c r="C5" s="540" t="s">
        <v>16</v>
      </c>
      <c r="D5" s="1063" t="str">
        <f>'Penilaian Perilaku'!D5:G5</f>
        <v>MTs Negeri 5 Sleman</v>
      </c>
      <c r="E5" s="1063"/>
      <c r="F5" s="1063"/>
      <c r="G5" s="1063"/>
      <c r="J5" s="540" t="str">
        <f>'Penilaian Perilaku'!J5</f>
        <v>01 Juli s.d. 31 Desember 2021</v>
      </c>
    </row>
    <row r="6" spans="1:20" ht="15" customHeight="1" x14ac:dyDescent="0.2">
      <c r="D6" s="664"/>
      <c r="E6" s="664"/>
      <c r="F6" s="664"/>
      <c r="G6" s="664"/>
      <c r="J6" s="665"/>
    </row>
    <row r="7" spans="1:20" ht="15" customHeight="1" x14ac:dyDescent="0.2">
      <c r="A7" s="1064" t="s">
        <v>85</v>
      </c>
      <c r="B7" s="1065"/>
      <c r="C7" s="1065"/>
      <c r="D7" s="1065"/>
      <c r="E7" s="1065"/>
      <c r="F7" s="1065"/>
      <c r="G7" s="1066"/>
      <c r="H7" s="1064" t="s">
        <v>86</v>
      </c>
      <c r="I7" s="1065"/>
      <c r="J7" s="1065"/>
      <c r="K7" s="1065"/>
      <c r="L7" s="1065"/>
      <c r="M7" s="1065"/>
      <c r="N7" s="1065"/>
      <c r="O7" s="1065"/>
      <c r="P7" s="1065"/>
      <c r="Q7" s="1066"/>
    </row>
    <row r="8" spans="1:20" s="661" customFormat="1" ht="18" customHeight="1" x14ac:dyDescent="0.2">
      <c r="A8" s="1086" t="s">
        <v>2</v>
      </c>
      <c r="B8" s="1087"/>
      <c r="C8" s="895" t="s">
        <v>16</v>
      </c>
      <c r="D8" s="896" t="str">
        <f>'Penilaian Perilaku'!D8</f>
        <v>Sirajudin, S.Pd</v>
      </c>
      <c r="E8" s="897"/>
      <c r="F8" s="897"/>
      <c r="G8" s="898"/>
      <c r="H8" s="899" t="s">
        <v>2</v>
      </c>
      <c r="I8" s="895" t="s">
        <v>16</v>
      </c>
      <c r="J8" s="900" t="str">
        <f>'Penilaian Perilaku'!J8</f>
        <v>Drs. Busyroni Majid, M.Si</v>
      </c>
      <c r="K8" s="901"/>
      <c r="L8" s="901"/>
      <c r="M8" s="901"/>
      <c r="N8" s="901"/>
      <c r="O8" s="901"/>
      <c r="P8" s="901"/>
      <c r="Q8" s="902"/>
      <c r="R8" s="679"/>
      <c r="S8" s="679"/>
      <c r="T8" s="679"/>
    </row>
    <row r="9" spans="1:20" s="661" customFormat="1" ht="18" customHeight="1" x14ac:dyDescent="0.2">
      <c r="A9" s="1086" t="s">
        <v>3</v>
      </c>
      <c r="B9" s="1087"/>
      <c r="C9" s="895" t="s">
        <v>16</v>
      </c>
      <c r="D9" s="896" t="str">
        <f>'Penilaian Perilaku'!D9</f>
        <v>19730115 200710 1 001</v>
      </c>
      <c r="E9" s="897"/>
      <c r="F9" s="897"/>
      <c r="G9" s="898"/>
      <c r="H9" s="899" t="s">
        <v>3</v>
      </c>
      <c r="I9" s="895" t="s">
        <v>16</v>
      </c>
      <c r="J9" s="900" t="str">
        <f>'Penilaian Perilaku'!J9</f>
        <v>19690921 199503 1 001</v>
      </c>
      <c r="K9" s="901"/>
      <c r="L9" s="901"/>
      <c r="M9" s="901"/>
      <c r="N9" s="901"/>
      <c r="O9" s="901"/>
      <c r="P9" s="901"/>
      <c r="Q9" s="902"/>
      <c r="R9" s="679"/>
      <c r="S9" s="679"/>
      <c r="T9" s="679"/>
    </row>
    <row r="10" spans="1:20" s="661" customFormat="1" ht="18" customHeight="1" x14ac:dyDescent="0.2">
      <c r="A10" s="1086" t="s">
        <v>106</v>
      </c>
      <c r="B10" s="1087"/>
      <c r="C10" s="895" t="s">
        <v>16</v>
      </c>
      <c r="D10" s="896" t="str">
        <f>'Penilaian Perilaku'!D10</f>
        <v>Penata Muda, Gol. III/a</v>
      </c>
      <c r="E10" s="897"/>
      <c r="F10" s="897"/>
      <c r="G10" s="898"/>
      <c r="H10" s="899" t="s">
        <v>106</v>
      </c>
      <c r="I10" s="895" t="s">
        <v>16</v>
      </c>
      <c r="J10" s="900" t="str">
        <f>'Penilaian Perilaku'!J10</f>
        <v>Pembina, Gol. IV/a</v>
      </c>
      <c r="K10" s="901"/>
      <c r="L10" s="901"/>
      <c r="M10" s="901"/>
      <c r="N10" s="901"/>
      <c r="O10" s="901"/>
      <c r="P10" s="901"/>
      <c r="Q10" s="902"/>
      <c r="R10" s="679"/>
      <c r="S10" s="679"/>
      <c r="T10" s="679"/>
    </row>
    <row r="11" spans="1:20" s="661" customFormat="1" ht="18" customHeight="1" x14ac:dyDescent="0.2">
      <c r="A11" s="1086" t="s">
        <v>4</v>
      </c>
      <c r="B11" s="1087"/>
      <c r="C11" s="895" t="s">
        <v>16</v>
      </c>
      <c r="D11" s="896" t="str">
        <f>'Penilaian Perilaku'!D11</f>
        <v>Guru Pertama</v>
      </c>
      <c r="E11" s="897"/>
      <c r="F11" s="897"/>
      <c r="G11" s="898"/>
      <c r="H11" s="899" t="s">
        <v>4</v>
      </c>
      <c r="I11" s="895" t="s">
        <v>16</v>
      </c>
      <c r="J11" s="900" t="str">
        <f>'Penilaian Perilaku'!J11</f>
        <v>Kepala Madrasah</v>
      </c>
      <c r="K11" s="901"/>
      <c r="L11" s="901"/>
      <c r="M11" s="901"/>
      <c r="N11" s="901"/>
      <c r="O11" s="901"/>
      <c r="P11" s="901"/>
      <c r="Q11" s="902"/>
      <c r="R11" s="679"/>
      <c r="S11" s="679"/>
      <c r="T11" s="679"/>
    </row>
    <row r="12" spans="1:20" s="661" customFormat="1" ht="18" customHeight="1" x14ac:dyDescent="0.2">
      <c r="A12" s="1091" t="s">
        <v>5</v>
      </c>
      <c r="B12" s="1092"/>
      <c r="C12" s="903" t="s">
        <v>16</v>
      </c>
      <c r="D12" s="896" t="str">
        <f>'Penilaian Perilaku'!D12</f>
        <v>MTs Negeri 5 Sleman</v>
      </c>
      <c r="E12" s="904"/>
      <c r="F12" s="904"/>
      <c r="G12" s="903"/>
      <c r="H12" s="905" t="s">
        <v>5</v>
      </c>
      <c r="I12" s="903" t="s">
        <v>16</v>
      </c>
      <c r="J12" s="900" t="str">
        <f>'Penilaian Perilaku'!J12</f>
        <v>MTs Negeri 5 Sleman</v>
      </c>
      <c r="K12" s="906"/>
      <c r="L12" s="906"/>
      <c r="M12" s="906"/>
      <c r="N12" s="906"/>
      <c r="O12" s="906"/>
      <c r="P12" s="906"/>
      <c r="Q12" s="907"/>
      <c r="R12" s="679"/>
      <c r="S12" s="679"/>
      <c r="T12" s="679"/>
    </row>
    <row r="13" spans="1:20" s="661" customFormat="1" ht="18" customHeight="1" x14ac:dyDescent="0.2">
      <c r="A13" s="1380" t="s">
        <v>65</v>
      </c>
      <c r="B13" s="1381"/>
      <c r="C13" s="565" t="s">
        <v>16</v>
      </c>
      <c r="D13" s="1379" t="str">
        <f>PERIODE!E18</f>
        <v>03 Januari  2022</v>
      </c>
      <c r="E13" s="1379"/>
      <c r="F13" s="1379"/>
      <c r="G13" s="1379"/>
      <c r="H13" s="1379"/>
      <c r="I13" s="1379"/>
      <c r="J13" s="1379"/>
      <c r="K13" s="1379"/>
      <c r="L13" s="1379"/>
      <c r="M13" s="1379"/>
      <c r="N13" s="1379"/>
      <c r="O13" s="1379"/>
      <c r="P13" s="1379"/>
      <c r="Q13" s="1379"/>
      <c r="R13" s="679"/>
      <c r="S13" s="679"/>
      <c r="T13" s="679"/>
    </row>
    <row r="14" spans="1:20" s="661" customFormat="1" ht="24" customHeight="1" x14ac:dyDescent="0.2">
      <c r="A14" s="1077" t="s">
        <v>49</v>
      </c>
      <c r="B14" s="1078"/>
      <c r="C14" s="1078"/>
      <c r="D14" s="1078"/>
      <c r="E14" s="1078"/>
      <c r="F14" s="1078"/>
      <c r="G14" s="1079"/>
      <c r="H14" s="1080" t="s">
        <v>66</v>
      </c>
      <c r="I14" s="1080"/>
      <c r="J14" s="1080"/>
      <c r="K14" s="1080"/>
      <c r="L14" s="1080"/>
      <c r="M14" s="1080"/>
      <c r="N14" s="1080"/>
      <c r="O14" s="1080"/>
      <c r="P14" s="1080"/>
      <c r="Q14" s="1080"/>
      <c r="R14" s="679"/>
      <c r="S14" s="679"/>
      <c r="T14" s="679"/>
    </row>
    <row r="15" spans="1:20" ht="30" customHeight="1" x14ac:dyDescent="0.2">
      <c r="A15" s="1081" t="s">
        <v>531</v>
      </c>
      <c r="B15" s="1082"/>
      <c r="C15" s="1082"/>
      <c r="D15" s="1082"/>
      <c r="E15" s="1082"/>
      <c r="F15" s="1082"/>
      <c r="G15" s="1083"/>
      <c r="H15" s="1084">
        <f>IF('PENILAIAN SKP'!W44&gt;120,120,'PENILAIAN SKP'!W44)</f>
        <v>101.6</v>
      </c>
      <c r="I15" s="1084"/>
      <c r="J15" s="1084"/>
      <c r="K15" s="1084"/>
      <c r="L15" s="1084"/>
      <c r="M15" s="1084"/>
      <c r="N15" s="1084"/>
      <c r="O15" s="1084"/>
      <c r="P15" s="1084"/>
      <c r="Q15" s="1084"/>
    </row>
    <row r="16" spans="1:20" ht="30" customHeight="1" x14ac:dyDescent="0.2">
      <c r="A16" s="1081" t="s">
        <v>532</v>
      </c>
      <c r="B16" s="1082"/>
      <c r="C16" s="1082"/>
      <c r="D16" s="1082"/>
      <c r="E16" s="1082"/>
      <c r="F16" s="1082"/>
      <c r="G16" s="1083"/>
      <c r="H16" s="1084">
        <f>IF('Penilaian Perilaku'!H20&gt;120,120,'Penilaian Perilaku'!H20)</f>
        <v>101.75</v>
      </c>
      <c r="I16" s="1084"/>
      <c r="J16" s="1084"/>
      <c r="K16" s="1084"/>
      <c r="L16" s="1084"/>
      <c r="M16" s="1084"/>
      <c r="N16" s="1084"/>
      <c r="O16" s="1084"/>
      <c r="P16" s="1084"/>
      <c r="Q16" s="1084"/>
    </row>
    <row r="17" spans="1:20" ht="30" customHeight="1" x14ac:dyDescent="0.2">
      <c r="A17" s="1382" t="s">
        <v>636</v>
      </c>
      <c r="B17" s="1383"/>
      <c r="C17" s="1383"/>
      <c r="D17" s="1383"/>
      <c r="E17" s="1383"/>
      <c r="F17" s="1383"/>
      <c r="G17" s="1384"/>
      <c r="H17" s="1084">
        <f>(70%*H15)+(30%*H16)</f>
        <v>101.64499999999998</v>
      </c>
      <c r="I17" s="1084"/>
      <c r="J17" s="1084"/>
      <c r="K17" s="1084"/>
      <c r="L17" s="1084"/>
      <c r="M17" s="1084"/>
      <c r="N17" s="1084"/>
      <c r="O17" s="1084"/>
      <c r="P17" s="1084"/>
      <c r="Q17" s="1084"/>
    </row>
    <row r="18" spans="1:20" ht="30" customHeight="1" x14ac:dyDescent="0.2">
      <c r="A18" s="1081" t="s">
        <v>637</v>
      </c>
      <c r="B18" s="1082"/>
      <c r="C18" s="1082"/>
      <c r="D18" s="1082"/>
      <c r="E18" s="1082"/>
      <c r="F18" s="1082"/>
      <c r="G18" s="1083"/>
      <c r="H18" s="1385">
        <v>0</v>
      </c>
      <c r="I18" s="1385"/>
      <c r="J18" s="1385"/>
      <c r="K18" s="1385"/>
      <c r="L18" s="1385"/>
      <c r="M18" s="1385"/>
      <c r="N18" s="1385"/>
      <c r="O18" s="1385"/>
      <c r="P18" s="1385"/>
      <c r="Q18" s="1385"/>
    </row>
    <row r="19" spans="1:20" ht="30" customHeight="1" x14ac:dyDescent="0.2">
      <c r="A19" s="1073" t="s">
        <v>638</v>
      </c>
      <c r="B19" s="1074"/>
      <c r="C19" s="1074"/>
      <c r="D19" s="1074"/>
      <c r="E19" s="1074"/>
      <c r="F19" s="1074"/>
      <c r="G19" s="1075"/>
      <c r="H19" s="1076">
        <f>IF((H17+H18)&gt;120,120,(H17+H18))</f>
        <v>101.64499999999998</v>
      </c>
      <c r="I19" s="1076"/>
      <c r="J19" s="1076"/>
      <c r="K19" s="1076"/>
      <c r="L19" s="1076"/>
      <c r="M19" s="1076"/>
      <c r="N19" s="1076"/>
      <c r="O19" s="1076"/>
      <c r="P19" s="1076"/>
      <c r="Q19" s="1076"/>
    </row>
    <row r="20" spans="1:20" ht="15.75" customHeight="1" x14ac:dyDescent="0.2"/>
    <row r="21" spans="1:20" ht="15.75" customHeight="1" x14ac:dyDescent="0.2"/>
    <row r="22" spans="1:20" ht="15.75" customHeight="1" x14ac:dyDescent="0.2">
      <c r="J22" s="540" t="str">
        <f>"Sleman, "&amp;D13</f>
        <v>Sleman, 03 Januari  2022</v>
      </c>
    </row>
    <row r="23" spans="1:20" ht="15.75" customHeight="1" x14ac:dyDescent="0.2">
      <c r="B23" s="540" t="s">
        <v>522</v>
      </c>
      <c r="J23" s="540" t="s">
        <v>523</v>
      </c>
    </row>
    <row r="24" spans="1:20" ht="15.75" customHeight="1" x14ac:dyDescent="0.2"/>
    <row r="25" spans="1:20" ht="15.75" customHeight="1" x14ac:dyDescent="0.2"/>
    <row r="26" spans="1:20" ht="15.75" customHeight="1" x14ac:dyDescent="0.2"/>
    <row r="27" spans="1:20" ht="15.75" customHeight="1" x14ac:dyDescent="0.2"/>
    <row r="28" spans="1:20" ht="15.75" customHeight="1" x14ac:dyDescent="0.2">
      <c r="B28" s="540" t="str">
        <f>D8</f>
        <v>Sirajudin, S.Pd</v>
      </c>
      <c r="J28" s="540" t="str">
        <f>J8</f>
        <v>Drs. Busyroni Majid, M.Si</v>
      </c>
    </row>
    <row r="29" spans="1:20" ht="15.75" customHeight="1" x14ac:dyDescent="0.2">
      <c r="B29" s="540" t="str">
        <f>"NIP. "&amp;D9</f>
        <v>NIP. 19730115 200710 1 001</v>
      </c>
      <c r="J29" s="540" t="str">
        <f>"NIP. "&amp;J9</f>
        <v>NIP. 19690921 199503 1 001</v>
      </c>
    </row>
    <row r="30" spans="1:20" s="659" customFormat="1" ht="15.75" customHeight="1" x14ac:dyDescent="0.2">
      <c r="A30" s="663"/>
      <c r="B30" s="540"/>
      <c r="C30" s="540"/>
      <c r="D30" s="540"/>
      <c r="E30" s="540"/>
      <c r="F30" s="540"/>
      <c r="G30" s="540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663"/>
      <c r="S30" s="663"/>
      <c r="T30" s="663"/>
    </row>
  </sheetData>
  <sheetProtection algorithmName="SHA-512" hashValue="ljaeBZ+nuxLhO5iDeB74ruHFjDz/ZcjOdx51CjM3E329Lo4OL2/8UWkeAn7XSRsnGFD4SJiT1SGLVZTPArexTQ==" saltValue="keVhmdln/g+TXacRPdY8GA==" spinCount="100000" sheet="1" formatCells="0" formatColumns="0" formatRows="0" insertColumns="0" insertRows="0"/>
  <mergeCells count="24">
    <mergeCell ref="A17:G17"/>
    <mergeCell ref="H17:Q17"/>
    <mergeCell ref="A18:G18"/>
    <mergeCell ref="H18:Q18"/>
    <mergeCell ref="A19:G19"/>
    <mergeCell ref="H19:Q19"/>
    <mergeCell ref="A14:G14"/>
    <mergeCell ref="H14:Q14"/>
    <mergeCell ref="A15:G15"/>
    <mergeCell ref="H15:Q15"/>
    <mergeCell ref="A16:G16"/>
    <mergeCell ref="H16:Q16"/>
    <mergeCell ref="D13:Q13"/>
    <mergeCell ref="A1:Q1"/>
    <mergeCell ref="A2:Q2"/>
    <mergeCell ref="D5:G5"/>
    <mergeCell ref="A7:G7"/>
    <mergeCell ref="H7:Q7"/>
    <mergeCell ref="A8:B8"/>
    <mergeCell ref="A9:B9"/>
    <mergeCell ref="A10:B10"/>
    <mergeCell ref="A11:B11"/>
    <mergeCell ref="A12:B12"/>
    <mergeCell ref="A13:B13"/>
  </mergeCells>
  <pageMargins left="0.70866141732283505" right="0.511811023622047" top="0.74803149606299202" bottom="0.511811023622047" header="0" footer="0"/>
  <pageSetup paperSize="9" scale="75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L34"/>
  <sheetViews>
    <sheetView view="pageBreakPreview" topLeftCell="A4" zoomScaleNormal="100" zoomScaleSheetLayoutView="100" workbookViewId="0">
      <selection activeCell="F20" sqref="F20"/>
    </sheetView>
  </sheetViews>
  <sheetFormatPr defaultColWidth="0" defaultRowHeight="12.75" x14ac:dyDescent="0.2"/>
  <cols>
    <col min="1" max="1" width="4.7109375" style="335" customWidth="1"/>
    <col min="2" max="2" width="18.5703125" style="335" customWidth="1"/>
    <col min="3" max="3" width="34.7109375" style="335" customWidth="1"/>
    <col min="4" max="4" width="6.140625" style="335" customWidth="1"/>
    <col min="5" max="5" width="6" style="335" customWidth="1"/>
    <col min="6" max="6" width="10.42578125" style="335" customWidth="1"/>
    <col min="7" max="7" width="9" style="335" customWidth="1"/>
    <col min="8" max="8" width="6.140625" style="335" customWidth="1"/>
    <col min="9" max="9" width="5.5703125" style="335" customWidth="1"/>
    <col min="10" max="10" width="8.42578125" style="335" customWidth="1"/>
    <col min="11" max="12" width="9.140625" style="273" customWidth="1"/>
    <col min="13" max="16384" width="9.140625" style="273" hidden="1"/>
  </cols>
  <sheetData>
    <row r="1" spans="1:12" ht="18" x14ac:dyDescent="0.25">
      <c r="A1" s="1386" t="s">
        <v>101</v>
      </c>
      <c r="B1" s="1386"/>
      <c r="C1" s="1386"/>
      <c r="D1" s="1386"/>
      <c r="E1" s="1386"/>
      <c r="F1" s="1386"/>
      <c r="G1" s="1386"/>
      <c r="H1" s="1386"/>
      <c r="I1" s="1386"/>
      <c r="J1" s="1386"/>
      <c r="K1" s="278"/>
      <c r="L1" s="278"/>
    </row>
    <row r="2" spans="1:12" ht="18" x14ac:dyDescent="0.25">
      <c r="A2" s="1386" t="str">
        <f>"PERIODE JULI - DESEMBER TAHUN "&amp;PERIODE!E23</f>
        <v>PERIODE JULI - DESEMBER TAHUN 2021</v>
      </c>
      <c r="B2" s="1386"/>
      <c r="C2" s="1386"/>
      <c r="D2" s="1386"/>
      <c r="E2" s="1386"/>
      <c r="F2" s="1386"/>
      <c r="G2" s="1386"/>
      <c r="H2" s="1386"/>
      <c r="I2" s="1386"/>
      <c r="J2" s="1386"/>
      <c r="K2" s="278"/>
      <c r="L2" s="278"/>
    </row>
    <row r="3" spans="1:12" ht="10.9" customHeight="1" x14ac:dyDescent="0.25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278"/>
      <c r="L3" s="278"/>
    </row>
    <row r="4" spans="1:12" ht="17.25" customHeight="1" x14ac:dyDescent="0.25">
      <c r="A4" s="379" t="s">
        <v>1</v>
      </c>
      <c r="B4" s="1387" t="s">
        <v>100</v>
      </c>
      <c r="C4" s="1388"/>
      <c r="D4" s="379" t="s">
        <v>1</v>
      </c>
      <c r="E4" s="1387" t="s">
        <v>45</v>
      </c>
      <c r="F4" s="1387"/>
      <c r="G4" s="1387"/>
      <c r="H4" s="1387"/>
      <c r="I4" s="1387"/>
      <c r="J4" s="1387"/>
      <c r="K4" s="278"/>
      <c r="L4" s="278"/>
    </row>
    <row r="5" spans="1:12" ht="17.25" customHeight="1" x14ac:dyDescent="0.25">
      <c r="A5" s="380" t="s">
        <v>20</v>
      </c>
      <c r="B5" s="381" t="s">
        <v>2</v>
      </c>
      <c r="C5" s="382" t="str">
        <f>'Penilaian Kinerja'!D8</f>
        <v>Sirajudin, S.Pd</v>
      </c>
      <c r="D5" s="380" t="s">
        <v>20</v>
      </c>
      <c r="E5" s="1389" t="s">
        <v>2</v>
      </c>
      <c r="F5" s="1389"/>
      <c r="G5" s="1390" t="str">
        <f>'Penilaian Kinerja'!J8</f>
        <v>Drs. Busyroni Majid, M.Si</v>
      </c>
      <c r="H5" s="1391"/>
      <c r="I5" s="1391"/>
      <c r="J5" s="1392"/>
      <c r="K5" s="278"/>
      <c r="L5" s="278"/>
    </row>
    <row r="6" spans="1:12" ht="17.25" customHeight="1" x14ac:dyDescent="0.25">
      <c r="A6" s="380" t="s">
        <v>21</v>
      </c>
      <c r="B6" s="383" t="s">
        <v>3</v>
      </c>
      <c r="C6" s="741" t="str">
        <f>'Penilaian Kinerja'!D9</f>
        <v>19730115 200710 1 001</v>
      </c>
      <c r="D6" s="380" t="s">
        <v>21</v>
      </c>
      <c r="E6" s="1389" t="s">
        <v>3</v>
      </c>
      <c r="F6" s="1389"/>
      <c r="G6" s="1390" t="str">
        <f>'Penilaian Kinerja'!J9</f>
        <v>19690921 199503 1 001</v>
      </c>
      <c r="H6" s="1391"/>
      <c r="I6" s="1391"/>
      <c r="J6" s="1392"/>
      <c r="K6" s="278"/>
      <c r="L6" s="278"/>
    </row>
    <row r="7" spans="1:12" ht="17.25" customHeight="1" x14ac:dyDescent="0.25">
      <c r="A7" s="380" t="s">
        <v>46</v>
      </c>
      <c r="B7" s="383" t="s">
        <v>6</v>
      </c>
      <c r="C7" s="741" t="str">
        <f>'Penilaian Kinerja'!D10</f>
        <v>Penata Muda, Gol. III/a</v>
      </c>
      <c r="D7" s="380" t="s">
        <v>46</v>
      </c>
      <c r="E7" s="1390" t="s">
        <v>6</v>
      </c>
      <c r="F7" s="1392"/>
      <c r="G7" s="1390" t="str">
        <f>'Penilaian Kinerja'!J10</f>
        <v>Pembina, Gol. IV/a</v>
      </c>
      <c r="H7" s="1391"/>
      <c r="I7" s="1391"/>
      <c r="J7" s="1392"/>
      <c r="K7" s="278"/>
      <c r="L7" s="278"/>
    </row>
    <row r="8" spans="1:12" ht="17.25" customHeight="1" x14ac:dyDescent="0.25">
      <c r="A8" s="380" t="s">
        <v>48</v>
      </c>
      <c r="B8" s="383" t="s">
        <v>4</v>
      </c>
      <c r="C8" s="741" t="str">
        <f>'Penilaian Kinerja'!D11</f>
        <v>Guru Pertama</v>
      </c>
      <c r="D8" s="380" t="s">
        <v>48</v>
      </c>
      <c r="E8" s="1389" t="s">
        <v>4</v>
      </c>
      <c r="F8" s="1389"/>
      <c r="G8" s="1390" t="str">
        <f>'Penilaian Kinerja'!J11</f>
        <v>Kepala Madrasah</v>
      </c>
      <c r="H8" s="1391"/>
      <c r="I8" s="1391"/>
      <c r="J8" s="1392"/>
      <c r="K8" s="278"/>
      <c r="L8" s="278"/>
    </row>
    <row r="9" spans="1:12" ht="17.25" customHeight="1" x14ac:dyDescent="0.25">
      <c r="A9" s="380" t="s">
        <v>50</v>
      </c>
      <c r="B9" s="383" t="s">
        <v>5</v>
      </c>
      <c r="C9" s="741" t="str">
        <f>'Penilaian Kinerja'!D12</f>
        <v>MTs Negeri 5 Sleman</v>
      </c>
      <c r="D9" s="380" t="s">
        <v>50</v>
      </c>
      <c r="E9" s="1389" t="s">
        <v>5</v>
      </c>
      <c r="F9" s="1389"/>
      <c r="G9" s="1390" t="str">
        <f>'Penilaian Kinerja'!J12</f>
        <v>MTs Negeri 5 Sleman</v>
      </c>
      <c r="H9" s="1391"/>
      <c r="I9" s="1391"/>
      <c r="J9" s="1392"/>
      <c r="K9" s="278"/>
      <c r="L9" s="278"/>
    </row>
    <row r="10" spans="1:12" ht="9.75" customHeight="1" x14ac:dyDescent="0.2">
      <c r="A10" s="384"/>
      <c r="B10" s="385"/>
      <c r="C10" s="386"/>
      <c r="D10" s="384"/>
      <c r="E10" s="386"/>
      <c r="F10" s="386"/>
      <c r="G10" s="386"/>
      <c r="H10" s="386"/>
      <c r="I10" s="386"/>
      <c r="J10" s="386"/>
      <c r="K10" s="278"/>
      <c r="L10" s="278"/>
    </row>
    <row r="11" spans="1:12" ht="17.25" customHeight="1" x14ac:dyDescent="0.25">
      <c r="A11" s="387"/>
      <c r="B11" s="388" t="s">
        <v>65</v>
      </c>
      <c r="C11" s="1391" t="str">
        <f>PERIODE!E13</f>
        <v>10 Januari 2022</v>
      </c>
      <c r="D11" s="1391"/>
      <c r="E11" s="1391"/>
      <c r="F11" s="1391"/>
      <c r="G11" s="1391"/>
      <c r="H11" s="1391"/>
      <c r="I11" s="1391"/>
      <c r="J11" s="1392"/>
      <c r="K11" s="278"/>
      <c r="L11" s="278"/>
    </row>
    <row r="12" spans="1:12" ht="20.25" customHeight="1" x14ac:dyDescent="0.2">
      <c r="A12" s="389" t="s">
        <v>1</v>
      </c>
      <c r="B12" s="1395" t="s">
        <v>49</v>
      </c>
      <c r="C12" s="1396"/>
      <c r="D12" s="1397"/>
      <c r="E12" s="1398" t="s">
        <v>66</v>
      </c>
      <c r="F12" s="1398"/>
      <c r="G12" s="1398"/>
      <c r="H12" s="1398"/>
      <c r="I12" s="1398"/>
      <c r="J12" s="1398"/>
      <c r="K12" s="278"/>
      <c r="L12" s="278"/>
    </row>
    <row r="13" spans="1:12" ht="20.25" customHeight="1" x14ac:dyDescent="0.2">
      <c r="A13" s="390" t="s">
        <v>23</v>
      </c>
      <c r="B13" s="1393" t="s">
        <v>68</v>
      </c>
      <c r="C13" s="1393"/>
      <c r="D13" s="1393"/>
      <c r="E13" s="1394">
        <f>'Penilaian Kinerja'!H15</f>
        <v>101.6</v>
      </c>
      <c r="F13" s="1394"/>
      <c r="G13" s="1394"/>
      <c r="H13" s="1394"/>
      <c r="I13" s="1394"/>
      <c r="J13" s="1394"/>
      <c r="K13" s="278"/>
      <c r="L13" s="278"/>
    </row>
    <row r="14" spans="1:12" ht="20.25" customHeight="1" x14ac:dyDescent="0.2">
      <c r="A14" s="390" t="s">
        <v>39</v>
      </c>
      <c r="B14" s="1393" t="s">
        <v>69</v>
      </c>
      <c r="C14" s="1393"/>
      <c r="D14" s="1393"/>
      <c r="E14" s="1394">
        <f>'Penilaian Kinerja'!H16</f>
        <v>101.75</v>
      </c>
      <c r="F14" s="1394"/>
      <c r="G14" s="1394"/>
      <c r="H14" s="1394"/>
      <c r="I14" s="1394"/>
      <c r="J14" s="1394"/>
      <c r="K14" s="278"/>
      <c r="L14" s="278"/>
    </row>
    <row r="15" spans="1:12" s="377" customFormat="1" ht="34.5" customHeight="1" x14ac:dyDescent="0.2">
      <c r="A15" s="1401" t="s">
        <v>67</v>
      </c>
      <c r="B15" s="1402"/>
      <c r="C15" s="1402"/>
      <c r="D15" s="1403"/>
      <c r="E15" s="1399">
        <f>(E13*60%)+(E14*40%)</f>
        <v>101.66</v>
      </c>
      <c r="F15" s="1399"/>
      <c r="G15" s="1399"/>
      <c r="H15" s="1399"/>
      <c r="I15" s="1399"/>
      <c r="J15" s="1399"/>
      <c r="K15" s="391"/>
      <c r="L15" s="391"/>
    </row>
    <row r="16" spans="1:12" s="377" customFormat="1" ht="18" customHeight="1" x14ac:dyDescent="0.2">
      <c r="A16" s="390" t="s">
        <v>40</v>
      </c>
      <c r="B16" s="1393" t="s">
        <v>83</v>
      </c>
      <c r="C16" s="1393"/>
      <c r="D16" s="1393"/>
      <c r="E16" s="1404"/>
      <c r="F16" s="1405"/>
      <c r="G16" s="1405"/>
      <c r="H16" s="1405"/>
      <c r="I16" s="1405"/>
      <c r="J16" s="1406"/>
      <c r="K16" s="391"/>
      <c r="L16" s="391"/>
    </row>
    <row r="17" spans="1:12" s="377" customFormat="1" ht="34.5" customHeight="1" x14ac:dyDescent="0.2">
      <c r="A17" s="1401" t="s">
        <v>84</v>
      </c>
      <c r="B17" s="1402"/>
      <c r="C17" s="1402"/>
      <c r="D17" s="1403"/>
      <c r="E17" s="1399">
        <f>E15+E16</f>
        <v>101.66</v>
      </c>
      <c r="F17" s="1399"/>
      <c r="G17" s="1399"/>
      <c r="H17" s="1399"/>
      <c r="I17" s="1399"/>
      <c r="J17" s="1399"/>
      <c r="K17" s="391"/>
      <c r="L17" s="391"/>
    </row>
    <row r="18" spans="1:12" s="377" customFormat="1" ht="18" hidden="1" customHeight="1" x14ac:dyDescent="0.2">
      <c r="A18" s="392"/>
      <c r="B18" s="393"/>
      <c r="C18" s="393"/>
      <c r="D18" s="393"/>
      <c r="E18" s="394"/>
      <c r="F18" s="394"/>
      <c r="G18" s="394"/>
      <c r="H18" s="394"/>
      <c r="I18" s="394"/>
      <c r="J18" s="394"/>
      <c r="K18" s="391"/>
      <c r="L18" s="391"/>
    </row>
    <row r="19" spans="1:12" s="377" customFormat="1" ht="18" customHeight="1" x14ac:dyDescent="0.2">
      <c r="A19" s="393"/>
      <c r="B19" s="393"/>
      <c r="C19" s="393"/>
      <c r="D19" s="393"/>
      <c r="E19" s="394"/>
      <c r="F19" s="394"/>
      <c r="G19" s="394"/>
      <c r="H19" s="394"/>
      <c r="I19" s="394"/>
      <c r="J19" s="394"/>
      <c r="K19" s="391"/>
      <c r="L19" s="391"/>
    </row>
    <row r="20" spans="1:12" ht="13.5" customHeight="1" x14ac:dyDescent="0.25">
      <c r="A20" s="395"/>
      <c r="B20" s="395"/>
      <c r="C20" s="395"/>
      <c r="D20" s="395"/>
      <c r="E20" s="395"/>
      <c r="F20" s="396" t="str">
        <f>"Sleman, "&amp;PERIODE!E13</f>
        <v>Sleman, 10 Januari 2022</v>
      </c>
      <c r="G20" s="397"/>
      <c r="H20" s="398"/>
      <c r="I20" s="398"/>
      <c r="J20" s="398"/>
      <c r="K20" s="278"/>
      <c r="L20" s="278"/>
    </row>
    <row r="21" spans="1:12" ht="13.5" customHeight="1" x14ac:dyDescent="0.25">
      <c r="A21" s="395"/>
      <c r="B21" s="396" t="s">
        <v>102</v>
      </c>
      <c r="C21" s="399"/>
      <c r="D21" s="396"/>
      <c r="E21" s="400"/>
      <c r="F21" s="396" t="s">
        <v>13</v>
      </c>
      <c r="G21" s="397"/>
      <c r="H21" s="398"/>
      <c r="I21" s="398"/>
      <c r="J21" s="398"/>
      <c r="K21" s="278"/>
      <c r="L21" s="278"/>
    </row>
    <row r="22" spans="1:12" ht="13.5" customHeight="1" x14ac:dyDescent="0.25">
      <c r="A22" s="395"/>
      <c r="B22" s="397"/>
      <c r="C22" s="399"/>
      <c r="D22" s="395"/>
      <c r="E22" s="395"/>
      <c r="F22" s="395"/>
      <c r="G22" s="397"/>
      <c r="H22" s="367"/>
      <c r="I22" s="367"/>
      <c r="J22" s="367"/>
      <c r="K22" s="278"/>
      <c r="L22" s="278"/>
    </row>
    <row r="23" spans="1:12" ht="13.5" customHeight="1" x14ac:dyDescent="0.25">
      <c r="A23" s="395"/>
      <c r="B23" s="395"/>
      <c r="C23" s="399"/>
      <c r="D23" s="395"/>
      <c r="E23" s="395"/>
      <c r="F23" s="395"/>
      <c r="G23" s="397"/>
      <c r="H23" s="367"/>
      <c r="I23" s="367"/>
      <c r="J23" s="367"/>
      <c r="K23" s="278"/>
      <c r="L23" s="278"/>
    </row>
    <row r="24" spans="1:12" ht="13.5" customHeight="1" x14ac:dyDescent="0.25">
      <c r="A24" s="395"/>
      <c r="B24" s="395"/>
      <c r="C24" s="399"/>
      <c r="D24" s="395"/>
      <c r="E24" s="395"/>
      <c r="F24" s="395"/>
      <c r="G24" s="397"/>
      <c r="H24" s="367"/>
      <c r="I24" s="367"/>
      <c r="J24" s="367"/>
      <c r="K24" s="278"/>
      <c r="L24" s="278"/>
    </row>
    <row r="25" spans="1:12" ht="13.5" customHeight="1" x14ac:dyDescent="0.25">
      <c r="A25" s="395"/>
      <c r="B25" s="395"/>
      <c r="C25" s="399"/>
      <c r="D25" s="395"/>
      <c r="E25" s="395"/>
      <c r="F25" s="395"/>
      <c r="G25" s="397"/>
      <c r="H25" s="367"/>
      <c r="I25" s="367"/>
      <c r="J25" s="367"/>
      <c r="K25" s="278"/>
      <c r="L25" s="278"/>
    </row>
    <row r="26" spans="1:12" ht="13.5" customHeight="1" x14ac:dyDescent="0.25">
      <c r="A26" s="395"/>
      <c r="B26" s="401" t="str">
        <f>C5</f>
        <v>Sirajudin, S.Pd</v>
      </c>
      <c r="C26" s="399"/>
      <c r="D26" s="401"/>
      <c r="E26" s="400"/>
      <c r="F26" s="401" t="str">
        <f>G5</f>
        <v>Drs. Busyroni Majid, M.Si</v>
      </c>
      <c r="G26" s="397"/>
      <c r="H26" s="402"/>
      <c r="I26" s="402"/>
      <c r="J26" s="402"/>
      <c r="K26" s="278"/>
      <c r="L26" s="278"/>
    </row>
    <row r="27" spans="1:12" ht="13.5" customHeight="1" x14ac:dyDescent="0.25">
      <c r="A27" s="395"/>
      <c r="B27" s="396" t="str">
        <f>"NIP. "&amp;C6</f>
        <v>NIP. 19730115 200710 1 001</v>
      </c>
      <c r="C27" s="399"/>
      <c r="D27" s="396"/>
      <c r="E27" s="395"/>
      <c r="F27" s="396" t="str">
        <f>"NIP."&amp;G6</f>
        <v>NIP.19690921 199503 1 001</v>
      </c>
      <c r="G27" s="397"/>
      <c r="H27" s="398"/>
      <c r="I27" s="398"/>
      <c r="J27" s="398"/>
      <c r="K27" s="278"/>
      <c r="L27" s="278"/>
    </row>
    <row r="28" spans="1:12" x14ac:dyDescent="0.2">
      <c r="A28" s="1400"/>
      <c r="B28" s="1400"/>
      <c r="C28" s="1400"/>
      <c r="D28" s="1400"/>
      <c r="E28" s="403"/>
      <c r="F28" s="397"/>
      <c r="G28" s="397"/>
      <c r="H28" s="397"/>
      <c r="I28" s="397"/>
      <c r="J28" s="397"/>
      <c r="K28" s="278"/>
      <c r="L28" s="278"/>
    </row>
    <row r="29" spans="1:12" x14ac:dyDescent="0.2">
      <c r="A29" s="397"/>
      <c r="B29" s="397"/>
      <c r="C29" s="397"/>
      <c r="D29" s="397"/>
      <c r="E29" s="397"/>
      <c r="F29" s="397"/>
      <c r="G29" s="397"/>
      <c r="H29" s="397"/>
      <c r="I29" s="397"/>
      <c r="J29" s="397"/>
      <c r="K29" s="278"/>
      <c r="L29" s="278"/>
    </row>
    <row r="30" spans="1:12" x14ac:dyDescent="0.2">
      <c r="A30" s="397"/>
      <c r="B30" s="397"/>
      <c r="C30" s="397"/>
      <c r="D30" s="397"/>
      <c r="E30" s="397"/>
      <c r="F30" s="397"/>
      <c r="G30" s="397"/>
      <c r="H30" s="397"/>
      <c r="I30" s="397"/>
      <c r="J30" s="397"/>
      <c r="K30" s="278"/>
      <c r="L30" s="278"/>
    </row>
    <row r="31" spans="1:12" x14ac:dyDescent="0.2">
      <c r="A31" s="397"/>
      <c r="B31" s="397"/>
      <c r="C31" s="397"/>
      <c r="D31" s="397"/>
      <c r="E31" s="397"/>
      <c r="F31" s="397"/>
      <c r="G31" s="397"/>
      <c r="H31" s="397"/>
      <c r="I31" s="397"/>
      <c r="J31" s="397"/>
      <c r="K31" s="278"/>
      <c r="L31" s="278"/>
    </row>
    <row r="32" spans="1:12" x14ac:dyDescent="0.2">
      <c r="A32" s="397"/>
      <c r="B32" s="397"/>
      <c r="C32" s="397"/>
      <c r="D32" s="397"/>
      <c r="E32" s="397"/>
      <c r="F32" s="397"/>
      <c r="G32" s="397"/>
      <c r="H32" s="397"/>
      <c r="I32" s="397"/>
      <c r="J32" s="397"/>
      <c r="K32" s="278" t="s">
        <v>60</v>
      </c>
      <c r="L32" s="278"/>
    </row>
    <row r="33" spans="1:12" x14ac:dyDescent="0.2">
      <c r="A33" s="397"/>
      <c r="B33" s="397"/>
      <c r="C33" s="397"/>
      <c r="D33" s="397"/>
      <c r="E33" s="397"/>
      <c r="F33" s="397"/>
      <c r="G33" s="397"/>
      <c r="H33" s="397"/>
      <c r="I33" s="397"/>
      <c r="J33" s="397"/>
      <c r="K33" s="278"/>
      <c r="L33" s="278"/>
    </row>
    <row r="34" spans="1:12" x14ac:dyDescent="0.2">
      <c r="A34" s="397"/>
      <c r="B34" s="397"/>
      <c r="C34" s="397"/>
      <c r="D34" s="397"/>
      <c r="E34" s="397"/>
      <c r="F34" s="397"/>
      <c r="G34" s="397"/>
      <c r="H34" s="397"/>
      <c r="I34" s="397"/>
      <c r="J34" s="397"/>
      <c r="K34" s="278"/>
      <c r="L34" s="278"/>
    </row>
  </sheetData>
  <sheetProtection formatColumns="0"/>
  <mergeCells count="28">
    <mergeCell ref="B14:D14"/>
    <mergeCell ref="E14:J14"/>
    <mergeCell ref="E15:J15"/>
    <mergeCell ref="A28:D28"/>
    <mergeCell ref="B16:D16"/>
    <mergeCell ref="E17:J17"/>
    <mergeCell ref="A17:D17"/>
    <mergeCell ref="A15:D15"/>
    <mergeCell ref="E16:J16"/>
    <mergeCell ref="B13:D13"/>
    <mergeCell ref="E13:J13"/>
    <mergeCell ref="E6:F6"/>
    <mergeCell ref="G6:J6"/>
    <mergeCell ref="E7:F7"/>
    <mergeCell ref="G7:J7"/>
    <mergeCell ref="E8:F8"/>
    <mergeCell ref="G8:J8"/>
    <mergeCell ref="E9:F9"/>
    <mergeCell ref="G9:J9"/>
    <mergeCell ref="C11:J11"/>
    <mergeCell ref="B12:D12"/>
    <mergeCell ref="E12:J12"/>
    <mergeCell ref="A1:J1"/>
    <mergeCell ref="A2:J2"/>
    <mergeCell ref="B4:C4"/>
    <mergeCell ref="E4:J4"/>
    <mergeCell ref="E5:F5"/>
    <mergeCell ref="G5:J5"/>
  </mergeCells>
  <pageMargins left="0.42" right="0.19" top="0.51" bottom="0.71" header="0.511811023622047" footer="0.15"/>
  <pageSetup paperSize="9" scale="8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IS72"/>
  <sheetViews>
    <sheetView view="pageBreakPreview" topLeftCell="A7" zoomScale="60" zoomScaleNormal="70" workbookViewId="0">
      <selection activeCell="M17" sqref="M17"/>
    </sheetView>
  </sheetViews>
  <sheetFormatPr defaultColWidth="29" defaultRowHeight="14.25" x14ac:dyDescent="0.2"/>
  <cols>
    <col min="1" max="1" width="5.42578125" style="423" customWidth="1"/>
    <col min="2" max="2" width="29.140625" style="423" customWidth="1"/>
    <col min="3" max="3" width="26" style="423" customWidth="1"/>
    <col min="4" max="4" width="11.7109375" style="423" customWidth="1"/>
    <col min="5" max="5" width="35.140625" style="425" customWidth="1"/>
    <col min="6" max="6" width="4.7109375" style="425" customWidth="1"/>
    <col min="7" max="7" width="11.28515625" style="426" customWidth="1"/>
    <col min="8" max="8" width="12.7109375" style="423" customWidth="1"/>
    <col min="9" max="9" width="11.28515625" style="423" customWidth="1"/>
    <col min="10" max="10" width="15.7109375" style="423" customWidth="1"/>
    <col min="11" max="11" width="13.42578125" style="423" customWidth="1"/>
    <col min="12" max="12" width="8.7109375" style="423" customWidth="1"/>
    <col min="13" max="13" width="15.42578125" style="423" customWidth="1"/>
    <col min="14" max="14" width="8.7109375" style="423" customWidth="1"/>
    <col min="15" max="15" width="8.5703125" style="427" customWidth="1"/>
    <col min="16" max="16" width="22.42578125" style="423" customWidth="1"/>
    <col min="17" max="248" width="14.42578125" style="423" customWidth="1"/>
    <col min="249" max="249" width="5.42578125" style="423" customWidth="1"/>
    <col min="250" max="250" width="19.140625" style="423" customWidth="1"/>
    <col min="251" max="251" width="2.85546875" style="423" customWidth="1"/>
    <col min="252" max="252" width="30.140625" style="423" customWidth="1"/>
    <col min="253" max="253" width="29" style="423" customWidth="1"/>
    <col min="254" max="256" width="29" style="335"/>
    <col min="257" max="257" width="5.42578125" style="335" customWidth="1"/>
    <col min="258" max="258" width="29.140625" style="335" customWidth="1"/>
    <col min="259" max="259" width="24.140625" style="335" customWidth="1"/>
    <col min="260" max="260" width="18" style="335" bestFit="1" customWidth="1"/>
    <col min="261" max="261" width="31.140625" style="335" customWidth="1"/>
    <col min="262" max="262" width="4.7109375" style="335" customWidth="1"/>
    <col min="263" max="263" width="9.140625" style="335" customWidth="1"/>
    <col min="264" max="264" width="19.140625" style="335" customWidth="1"/>
    <col min="265" max="265" width="13.140625" style="335" customWidth="1"/>
    <col min="266" max="266" width="14.5703125" style="335" customWidth="1"/>
    <col min="267" max="267" width="15" style="335" customWidth="1"/>
    <col min="268" max="268" width="8.7109375" style="335" customWidth="1"/>
    <col min="269" max="269" width="13" style="335" customWidth="1"/>
    <col min="270" max="270" width="8.7109375" style="335" customWidth="1"/>
    <col min="271" max="271" width="8.5703125" style="335" customWidth="1"/>
    <col min="272" max="272" width="22.42578125" style="335" customWidth="1"/>
    <col min="273" max="504" width="14.42578125" style="335" customWidth="1"/>
    <col min="505" max="505" width="5.42578125" style="335" customWidth="1"/>
    <col min="506" max="506" width="19.140625" style="335" customWidth="1"/>
    <col min="507" max="507" width="2.85546875" style="335" customWidth="1"/>
    <col min="508" max="508" width="30.140625" style="335" customWidth="1"/>
    <col min="509" max="512" width="29" style="335"/>
    <col min="513" max="513" width="5.42578125" style="335" customWidth="1"/>
    <col min="514" max="514" width="29.140625" style="335" customWidth="1"/>
    <col min="515" max="515" width="24.140625" style="335" customWidth="1"/>
    <col min="516" max="516" width="18" style="335" bestFit="1" customWidth="1"/>
    <col min="517" max="517" width="31.140625" style="335" customWidth="1"/>
    <col min="518" max="518" width="4.7109375" style="335" customWidth="1"/>
    <col min="519" max="519" width="9.140625" style="335" customWidth="1"/>
    <col min="520" max="520" width="19.140625" style="335" customWidth="1"/>
    <col min="521" max="521" width="13.140625" style="335" customWidth="1"/>
    <col min="522" max="522" width="14.5703125" style="335" customWidth="1"/>
    <col min="523" max="523" width="15" style="335" customWidth="1"/>
    <col min="524" max="524" width="8.7109375" style="335" customWidth="1"/>
    <col min="525" max="525" width="13" style="335" customWidth="1"/>
    <col min="526" max="526" width="8.7109375" style="335" customWidth="1"/>
    <col min="527" max="527" width="8.5703125" style="335" customWidth="1"/>
    <col min="528" max="528" width="22.42578125" style="335" customWidth="1"/>
    <col min="529" max="760" width="14.42578125" style="335" customWidth="1"/>
    <col min="761" max="761" width="5.42578125" style="335" customWidth="1"/>
    <col min="762" max="762" width="19.140625" style="335" customWidth="1"/>
    <col min="763" max="763" width="2.85546875" style="335" customWidth="1"/>
    <col min="764" max="764" width="30.140625" style="335" customWidth="1"/>
    <col min="765" max="768" width="29" style="335"/>
    <col min="769" max="769" width="5.42578125" style="335" customWidth="1"/>
    <col min="770" max="770" width="29.140625" style="335" customWidth="1"/>
    <col min="771" max="771" width="24.140625" style="335" customWidth="1"/>
    <col min="772" max="772" width="18" style="335" bestFit="1" customWidth="1"/>
    <col min="773" max="773" width="31.140625" style="335" customWidth="1"/>
    <col min="774" max="774" width="4.7109375" style="335" customWidth="1"/>
    <col min="775" max="775" width="9.140625" style="335" customWidth="1"/>
    <col min="776" max="776" width="19.140625" style="335" customWidth="1"/>
    <col min="777" max="777" width="13.140625" style="335" customWidth="1"/>
    <col min="778" max="778" width="14.5703125" style="335" customWidth="1"/>
    <col min="779" max="779" width="15" style="335" customWidth="1"/>
    <col min="780" max="780" width="8.7109375" style="335" customWidth="1"/>
    <col min="781" max="781" width="13" style="335" customWidth="1"/>
    <col min="782" max="782" width="8.7109375" style="335" customWidth="1"/>
    <col min="783" max="783" width="8.5703125" style="335" customWidth="1"/>
    <col min="784" max="784" width="22.42578125" style="335" customWidth="1"/>
    <col min="785" max="1016" width="14.42578125" style="335" customWidth="1"/>
    <col min="1017" max="1017" width="5.42578125" style="335" customWidth="1"/>
    <col min="1018" max="1018" width="19.140625" style="335" customWidth="1"/>
    <col min="1019" max="1019" width="2.85546875" style="335" customWidth="1"/>
    <col min="1020" max="1020" width="30.140625" style="335" customWidth="1"/>
    <col min="1021" max="1024" width="29" style="335"/>
    <col min="1025" max="1025" width="5.42578125" style="335" customWidth="1"/>
    <col min="1026" max="1026" width="29.140625" style="335" customWidth="1"/>
    <col min="1027" max="1027" width="24.140625" style="335" customWidth="1"/>
    <col min="1028" max="1028" width="18" style="335" bestFit="1" customWidth="1"/>
    <col min="1029" max="1029" width="31.140625" style="335" customWidth="1"/>
    <col min="1030" max="1030" width="4.7109375" style="335" customWidth="1"/>
    <col min="1031" max="1031" width="9.140625" style="335" customWidth="1"/>
    <col min="1032" max="1032" width="19.140625" style="335" customWidth="1"/>
    <col min="1033" max="1033" width="13.140625" style="335" customWidth="1"/>
    <col min="1034" max="1034" width="14.5703125" style="335" customWidth="1"/>
    <col min="1035" max="1035" width="15" style="335" customWidth="1"/>
    <col min="1036" max="1036" width="8.7109375" style="335" customWidth="1"/>
    <col min="1037" max="1037" width="13" style="335" customWidth="1"/>
    <col min="1038" max="1038" width="8.7109375" style="335" customWidth="1"/>
    <col min="1039" max="1039" width="8.5703125" style="335" customWidth="1"/>
    <col min="1040" max="1040" width="22.42578125" style="335" customWidth="1"/>
    <col min="1041" max="1272" width="14.42578125" style="335" customWidth="1"/>
    <col min="1273" max="1273" width="5.42578125" style="335" customWidth="1"/>
    <col min="1274" max="1274" width="19.140625" style="335" customWidth="1"/>
    <col min="1275" max="1275" width="2.85546875" style="335" customWidth="1"/>
    <col min="1276" max="1276" width="30.140625" style="335" customWidth="1"/>
    <col min="1277" max="1280" width="29" style="335"/>
    <col min="1281" max="1281" width="5.42578125" style="335" customWidth="1"/>
    <col min="1282" max="1282" width="29.140625" style="335" customWidth="1"/>
    <col min="1283" max="1283" width="24.140625" style="335" customWidth="1"/>
    <col min="1284" max="1284" width="18" style="335" bestFit="1" customWidth="1"/>
    <col min="1285" max="1285" width="31.140625" style="335" customWidth="1"/>
    <col min="1286" max="1286" width="4.7109375" style="335" customWidth="1"/>
    <col min="1287" max="1287" width="9.140625" style="335" customWidth="1"/>
    <col min="1288" max="1288" width="19.140625" style="335" customWidth="1"/>
    <col min="1289" max="1289" width="13.140625" style="335" customWidth="1"/>
    <col min="1290" max="1290" width="14.5703125" style="335" customWidth="1"/>
    <col min="1291" max="1291" width="15" style="335" customWidth="1"/>
    <col min="1292" max="1292" width="8.7109375" style="335" customWidth="1"/>
    <col min="1293" max="1293" width="13" style="335" customWidth="1"/>
    <col min="1294" max="1294" width="8.7109375" style="335" customWidth="1"/>
    <col min="1295" max="1295" width="8.5703125" style="335" customWidth="1"/>
    <col min="1296" max="1296" width="22.42578125" style="335" customWidth="1"/>
    <col min="1297" max="1528" width="14.42578125" style="335" customWidth="1"/>
    <col min="1529" max="1529" width="5.42578125" style="335" customWidth="1"/>
    <col min="1530" max="1530" width="19.140625" style="335" customWidth="1"/>
    <col min="1531" max="1531" width="2.85546875" style="335" customWidth="1"/>
    <col min="1532" max="1532" width="30.140625" style="335" customWidth="1"/>
    <col min="1533" max="1536" width="29" style="335"/>
    <col min="1537" max="1537" width="5.42578125" style="335" customWidth="1"/>
    <col min="1538" max="1538" width="29.140625" style="335" customWidth="1"/>
    <col min="1539" max="1539" width="24.140625" style="335" customWidth="1"/>
    <col min="1540" max="1540" width="18" style="335" bestFit="1" customWidth="1"/>
    <col min="1541" max="1541" width="31.140625" style="335" customWidth="1"/>
    <col min="1542" max="1542" width="4.7109375" style="335" customWidth="1"/>
    <col min="1543" max="1543" width="9.140625" style="335" customWidth="1"/>
    <col min="1544" max="1544" width="19.140625" style="335" customWidth="1"/>
    <col min="1545" max="1545" width="13.140625" style="335" customWidth="1"/>
    <col min="1546" max="1546" width="14.5703125" style="335" customWidth="1"/>
    <col min="1547" max="1547" width="15" style="335" customWidth="1"/>
    <col min="1548" max="1548" width="8.7109375" style="335" customWidth="1"/>
    <col min="1549" max="1549" width="13" style="335" customWidth="1"/>
    <col min="1550" max="1550" width="8.7109375" style="335" customWidth="1"/>
    <col min="1551" max="1551" width="8.5703125" style="335" customWidth="1"/>
    <col min="1552" max="1552" width="22.42578125" style="335" customWidth="1"/>
    <col min="1553" max="1784" width="14.42578125" style="335" customWidth="1"/>
    <col min="1785" max="1785" width="5.42578125" style="335" customWidth="1"/>
    <col min="1786" max="1786" width="19.140625" style="335" customWidth="1"/>
    <col min="1787" max="1787" width="2.85546875" style="335" customWidth="1"/>
    <col min="1788" max="1788" width="30.140625" style="335" customWidth="1"/>
    <col min="1789" max="1792" width="29" style="335"/>
    <col min="1793" max="1793" width="5.42578125" style="335" customWidth="1"/>
    <col min="1794" max="1794" width="29.140625" style="335" customWidth="1"/>
    <col min="1795" max="1795" width="24.140625" style="335" customWidth="1"/>
    <col min="1796" max="1796" width="18" style="335" bestFit="1" customWidth="1"/>
    <col min="1797" max="1797" width="31.140625" style="335" customWidth="1"/>
    <col min="1798" max="1798" width="4.7109375" style="335" customWidth="1"/>
    <col min="1799" max="1799" width="9.140625" style="335" customWidth="1"/>
    <col min="1800" max="1800" width="19.140625" style="335" customWidth="1"/>
    <col min="1801" max="1801" width="13.140625" style="335" customWidth="1"/>
    <col min="1802" max="1802" width="14.5703125" style="335" customWidth="1"/>
    <col min="1803" max="1803" width="15" style="335" customWidth="1"/>
    <col min="1804" max="1804" width="8.7109375" style="335" customWidth="1"/>
    <col min="1805" max="1805" width="13" style="335" customWidth="1"/>
    <col min="1806" max="1806" width="8.7109375" style="335" customWidth="1"/>
    <col min="1807" max="1807" width="8.5703125" style="335" customWidth="1"/>
    <col min="1808" max="1808" width="22.42578125" style="335" customWidth="1"/>
    <col min="1809" max="2040" width="14.42578125" style="335" customWidth="1"/>
    <col min="2041" max="2041" width="5.42578125" style="335" customWidth="1"/>
    <col min="2042" max="2042" width="19.140625" style="335" customWidth="1"/>
    <col min="2043" max="2043" width="2.85546875" style="335" customWidth="1"/>
    <col min="2044" max="2044" width="30.140625" style="335" customWidth="1"/>
    <col min="2045" max="2048" width="29" style="335"/>
    <col min="2049" max="2049" width="5.42578125" style="335" customWidth="1"/>
    <col min="2050" max="2050" width="29.140625" style="335" customWidth="1"/>
    <col min="2051" max="2051" width="24.140625" style="335" customWidth="1"/>
    <col min="2052" max="2052" width="18" style="335" bestFit="1" customWidth="1"/>
    <col min="2053" max="2053" width="31.140625" style="335" customWidth="1"/>
    <col min="2054" max="2054" width="4.7109375" style="335" customWidth="1"/>
    <col min="2055" max="2055" width="9.140625" style="335" customWidth="1"/>
    <col min="2056" max="2056" width="19.140625" style="335" customWidth="1"/>
    <col min="2057" max="2057" width="13.140625" style="335" customWidth="1"/>
    <col min="2058" max="2058" width="14.5703125" style="335" customWidth="1"/>
    <col min="2059" max="2059" width="15" style="335" customWidth="1"/>
    <col min="2060" max="2060" width="8.7109375" style="335" customWidth="1"/>
    <col min="2061" max="2061" width="13" style="335" customWidth="1"/>
    <col min="2062" max="2062" width="8.7109375" style="335" customWidth="1"/>
    <col min="2063" max="2063" width="8.5703125" style="335" customWidth="1"/>
    <col min="2064" max="2064" width="22.42578125" style="335" customWidth="1"/>
    <col min="2065" max="2296" width="14.42578125" style="335" customWidth="1"/>
    <col min="2297" max="2297" width="5.42578125" style="335" customWidth="1"/>
    <col min="2298" max="2298" width="19.140625" style="335" customWidth="1"/>
    <col min="2299" max="2299" width="2.85546875" style="335" customWidth="1"/>
    <col min="2300" max="2300" width="30.140625" style="335" customWidth="1"/>
    <col min="2301" max="2304" width="29" style="335"/>
    <col min="2305" max="2305" width="5.42578125" style="335" customWidth="1"/>
    <col min="2306" max="2306" width="29.140625" style="335" customWidth="1"/>
    <col min="2307" max="2307" width="24.140625" style="335" customWidth="1"/>
    <col min="2308" max="2308" width="18" style="335" bestFit="1" customWidth="1"/>
    <col min="2309" max="2309" width="31.140625" style="335" customWidth="1"/>
    <col min="2310" max="2310" width="4.7109375" style="335" customWidth="1"/>
    <col min="2311" max="2311" width="9.140625" style="335" customWidth="1"/>
    <col min="2312" max="2312" width="19.140625" style="335" customWidth="1"/>
    <col min="2313" max="2313" width="13.140625" style="335" customWidth="1"/>
    <col min="2314" max="2314" width="14.5703125" style="335" customWidth="1"/>
    <col min="2315" max="2315" width="15" style="335" customWidth="1"/>
    <col min="2316" max="2316" width="8.7109375" style="335" customWidth="1"/>
    <col min="2317" max="2317" width="13" style="335" customWidth="1"/>
    <col min="2318" max="2318" width="8.7109375" style="335" customWidth="1"/>
    <col min="2319" max="2319" width="8.5703125" style="335" customWidth="1"/>
    <col min="2320" max="2320" width="22.42578125" style="335" customWidth="1"/>
    <col min="2321" max="2552" width="14.42578125" style="335" customWidth="1"/>
    <col min="2553" max="2553" width="5.42578125" style="335" customWidth="1"/>
    <col min="2554" max="2554" width="19.140625" style="335" customWidth="1"/>
    <col min="2555" max="2555" width="2.85546875" style="335" customWidth="1"/>
    <col min="2556" max="2556" width="30.140625" style="335" customWidth="1"/>
    <col min="2557" max="2560" width="29" style="335"/>
    <col min="2561" max="2561" width="5.42578125" style="335" customWidth="1"/>
    <col min="2562" max="2562" width="29.140625" style="335" customWidth="1"/>
    <col min="2563" max="2563" width="24.140625" style="335" customWidth="1"/>
    <col min="2564" max="2564" width="18" style="335" bestFit="1" customWidth="1"/>
    <col min="2565" max="2565" width="31.140625" style="335" customWidth="1"/>
    <col min="2566" max="2566" width="4.7109375" style="335" customWidth="1"/>
    <col min="2567" max="2567" width="9.140625" style="335" customWidth="1"/>
    <col min="2568" max="2568" width="19.140625" style="335" customWidth="1"/>
    <col min="2569" max="2569" width="13.140625" style="335" customWidth="1"/>
    <col min="2570" max="2570" width="14.5703125" style="335" customWidth="1"/>
    <col min="2571" max="2571" width="15" style="335" customWidth="1"/>
    <col min="2572" max="2572" width="8.7109375" style="335" customWidth="1"/>
    <col min="2573" max="2573" width="13" style="335" customWidth="1"/>
    <col min="2574" max="2574" width="8.7109375" style="335" customWidth="1"/>
    <col min="2575" max="2575" width="8.5703125" style="335" customWidth="1"/>
    <col min="2576" max="2576" width="22.42578125" style="335" customWidth="1"/>
    <col min="2577" max="2808" width="14.42578125" style="335" customWidth="1"/>
    <col min="2809" max="2809" width="5.42578125" style="335" customWidth="1"/>
    <col min="2810" max="2810" width="19.140625" style="335" customWidth="1"/>
    <col min="2811" max="2811" width="2.85546875" style="335" customWidth="1"/>
    <col min="2812" max="2812" width="30.140625" style="335" customWidth="1"/>
    <col min="2813" max="2816" width="29" style="335"/>
    <col min="2817" max="2817" width="5.42578125" style="335" customWidth="1"/>
    <col min="2818" max="2818" width="29.140625" style="335" customWidth="1"/>
    <col min="2819" max="2819" width="24.140625" style="335" customWidth="1"/>
    <col min="2820" max="2820" width="18" style="335" bestFit="1" customWidth="1"/>
    <col min="2821" max="2821" width="31.140625" style="335" customWidth="1"/>
    <col min="2822" max="2822" width="4.7109375" style="335" customWidth="1"/>
    <col min="2823" max="2823" width="9.140625" style="335" customWidth="1"/>
    <col min="2824" max="2824" width="19.140625" style="335" customWidth="1"/>
    <col min="2825" max="2825" width="13.140625" style="335" customWidth="1"/>
    <col min="2826" max="2826" width="14.5703125" style="335" customWidth="1"/>
    <col min="2827" max="2827" width="15" style="335" customWidth="1"/>
    <col min="2828" max="2828" width="8.7109375" style="335" customWidth="1"/>
    <col min="2829" max="2829" width="13" style="335" customWidth="1"/>
    <col min="2830" max="2830" width="8.7109375" style="335" customWidth="1"/>
    <col min="2831" max="2831" width="8.5703125" style="335" customWidth="1"/>
    <col min="2832" max="2832" width="22.42578125" style="335" customWidth="1"/>
    <col min="2833" max="3064" width="14.42578125" style="335" customWidth="1"/>
    <col min="3065" max="3065" width="5.42578125" style="335" customWidth="1"/>
    <col min="3066" max="3066" width="19.140625" style="335" customWidth="1"/>
    <col min="3067" max="3067" width="2.85546875" style="335" customWidth="1"/>
    <col min="3068" max="3068" width="30.140625" style="335" customWidth="1"/>
    <col min="3069" max="3072" width="29" style="335"/>
    <col min="3073" max="3073" width="5.42578125" style="335" customWidth="1"/>
    <col min="3074" max="3074" width="29.140625" style="335" customWidth="1"/>
    <col min="3075" max="3075" width="24.140625" style="335" customWidth="1"/>
    <col min="3076" max="3076" width="18" style="335" bestFit="1" customWidth="1"/>
    <col min="3077" max="3077" width="31.140625" style="335" customWidth="1"/>
    <col min="3078" max="3078" width="4.7109375" style="335" customWidth="1"/>
    <col min="3079" max="3079" width="9.140625" style="335" customWidth="1"/>
    <col min="3080" max="3080" width="19.140625" style="335" customWidth="1"/>
    <col min="3081" max="3081" width="13.140625" style="335" customWidth="1"/>
    <col min="3082" max="3082" width="14.5703125" style="335" customWidth="1"/>
    <col min="3083" max="3083" width="15" style="335" customWidth="1"/>
    <col min="3084" max="3084" width="8.7109375" style="335" customWidth="1"/>
    <col min="3085" max="3085" width="13" style="335" customWidth="1"/>
    <col min="3086" max="3086" width="8.7109375" style="335" customWidth="1"/>
    <col min="3087" max="3087" width="8.5703125" style="335" customWidth="1"/>
    <col min="3088" max="3088" width="22.42578125" style="335" customWidth="1"/>
    <col min="3089" max="3320" width="14.42578125" style="335" customWidth="1"/>
    <col min="3321" max="3321" width="5.42578125" style="335" customWidth="1"/>
    <col min="3322" max="3322" width="19.140625" style="335" customWidth="1"/>
    <col min="3323" max="3323" width="2.85546875" style="335" customWidth="1"/>
    <col min="3324" max="3324" width="30.140625" style="335" customWidth="1"/>
    <col min="3325" max="3328" width="29" style="335"/>
    <col min="3329" max="3329" width="5.42578125" style="335" customWidth="1"/>
    <col min="3330" max="3330" width="29.140625" style="335" customWidth="1"/>
    <col min="3331" max="3331" width="24.140625" style="335" customWidth="1"/>
    <col min="3332" max="3332" width="18" style="335" bestFit="1" customWidth="1"/>
    <col min="3333" max="3333" width="31.140625" style="335" customWidth="1"/>
    <col min="3334" max="3334" width="4.7109375" style="335" customWidth="1"/>
    <col min="3335" max="3335" width="9.140625" style="335" customWidth="1"/>
    <col min="3336" max="3336" width="19.140625" style="335" customWidth="1"/>
    <col min="3337" max="3337" width="13.140625" style="335" customWidth="1"/>
    <col min="3338" max="3338" width="14.5703125" style="335" customWidth="1"/>
    <col min="3339" max="3339" width="15" style="335" customWidth="1"/>
    <col min="3340" max="3340" width="8.7109375" style="335" customWidth="1"/>
    <col min="3341" max="3341" width="13" style="335" customWidth="1"/>
    <col min="3342" max="3342" width="8.7109375" style="335" customWidth="1"/>
    <col min="3343" max="3343" width="8.5703125" style="335" customWidth="1"/>
    <col min="3344" max="3344" width="22.42578125" style="335" customWidth="1"/>
    <col min="3345" max="3576" width="14.42578125" style="335" customWidth="1"/>
    <col min="3577" max="3577" width="5.42578125" style="335" customWidth="1"/>
    <col min="3578" max="3578" width="19.140625" style="335" customWidth="1"/>
    <col min="3579" max="3579" width="2.85546875" style="335" customWidth="1"/>
    <col min="3580" max="3580" width="30.140625" style="335" customWidth="1"/>
    <col min="3581" max="3584" width="29" style="335"/>
    <col min="3585" max="3585" width="5.42578125" style="335" customWidth="1"/>
    <col min="3586" max="3586" width="29.140625" style="335" customWidth="1"/>
    <col min="3587" max="3587" width="24.140625" style="335" customWidth="1"/>
    <col min="3588" max="3588" width="18" style="335" bestFit="1" customWidth="1"/>
    <col min="3589" max="3589" width="31.140625" style="335" customWidth="1"/>
    <col min="3590" max="3590" width="4.7109375" style="335" customWidth="1"/>
    <col min="3591" max="3591" width="9.140625" style="335" customWidth="1"/>
    <col min="3592" max="3592" width="19.140625" style="335" customWidth="1"/>
    <col min="3593" max="3593" width="13.140625" style="335" customWidth="1"/>
    <col min="3594" max="3594" width="14.5703125" style="335" customWidth="1"/>
    <col min="3595" max="3595" width="15" style="335" customWidth="1"/>
    <col min="3596" max="3596" width="8.7109375" style="335" customWidth="1"/>
    <col min="3597" max="3597" width="13" style="335" customWidth="1"/>
    <col min="3598" max="3598" width="8.7109375" style="335" customWidth="1"/>
    <col min="3599" max="3599" width="8.5703125" style="335" customWidth="1"/>
    <col min="3600" max="3600" width="22.42578125" style="335" customWidth="1"/>
    <col min="3601" max="3832" width="14.42578125" style="335" customWidth="1"/>
    <col min="3833" max="3833" width="5.42578125" style="335" customWidth="1"/>
    <col min="3834" max="3834" width="19.140625" style="335" customWidth="1"/>
    <col min="3835" max="3835" width="2.85546875" style="335" customWidth="1"/>
    <col min="3836" max="3836" width="30.140625" style="335" customWidth="1"/>
    <col min="3837" max="3840" width="29" style="335"/>
    <col min="3841" max="3841" width="5.42578125" style="335" customWidth="1"/>
    <col min="3842" max="3842" width="29.140625" style="335" customWidth="1"/>
    <col min="3843" max="3843" width="24.140625" style="335" customWidth="1"/>
    <col min="3844" max="3844" width="18" style="335" bestFit="1" customWidth="1"/>
    <col min="3845" max="3845" width="31.140625" style="335" customWidth="1"/>
    <col min="3846" max="3846" width="4.7109375" style="335" customWidth="1"/>
    <col min="3847" max="3847" width="9.140625" style="335" customWidth="1"/>
    <col min="3848" max="3848" width="19.140625" style="335" customWidth="1"/>
    <col min="3849" max="3849" width="13.140625" style="335" customWidth="1"/>
    <col min="3850" max="3850" width="14.5703125" style="335" customWidth="1"/>
    <col min="3851" max="3851" width="15" style="335" customWidth="1"/>
    <col min="3852" max="3852" width="8.7109375" style="335" customWidth="1"/>
    <col min="3853" max="3853" width="13" style="335" customWidth="1"/>
    <col min="3854" max="3854" width="8.7109375" style="335" customWidth="1"/>
    <col min="3855" max="3855" width="8.5703125" style="335" customWidth="1"/>
    <col min="3856" max="3856" width="22.42578125" style="335" customWidth="1"/>
    <col min="3857" max="4088" width="14.42578125" style="335" customWidth="1"/>
    <col min="4089" max="4089" width="5.42578125" style="335" customWidth="1"/>
    <col min="4090" max="4090" width="19.140625" style="335" customWidth="1"/>
    <col min="4091" max="4091" width="2.85546875" style="335" customWidth="1"/>
    <col min="4092" max="4092" width="30.140625" style="335" customWidth="1"/>
    <col min="4093" max="4096" width="29" style="335"/>
    <col min="4097" max="4097" width="5.42578125" style="335" customWidth="1"/>
    <col min="4098" max="4098" width="29.140625" style="335" customWidth="1"/>
    <col min="4099" max="4099" width="24.140625" style="335" customWidth="1"/>
    <col min="4100" max="4100" width="18" style="335" bestFit="1" customWidth="1"/>
    <col min="4101" max="4101" width="31.140625" style="335" customWidth="1"/>
    <col min="4102" max="4102" width="4.7109375" style="335" customWidth="1"/>
    <col min="4103" max="4103" width="9.140625" style="335" customWidth="1"/>
    <col min="4104" max="4104" width="19.140625" style="335" customWidth="1"/>
    <col min="4105" max="4105" width="13.140625" style="335" customWidth="1"/>
    <col min="4106" max="4106" width="14.5703125" style="335" customWidth="1"/>
    <col min="4107" max="4107" width="15" style="335" customWidth="1"/>
    <col min="4108" max="4108" width="8.7109375" style="335" customWidth="1"/>
    <col min="4109" max="4109" width="13" style="335" customWidth="1"/>
    <col min="4110" max="4110" width="8.7109375" style="335" customWidth="1"/>
    <col min="4111" max="4111" width="8.5703125" style="335" customWidth="1"/>
    <col min="4112" max="4112" width="22.42578125" style="335" customWidth="1"/>
    <col min="4113" max="4344" width="14.42578125" style="335" customWidth="1"/>
    <col min="4345" max="4345" width="5.42578125" style="335" customWidth="1"/>
    <col min="4346" max="4346" width="19.140625" style="335" customWidth="1"/>
    <col min="4347" max="4347" width="2.85546875" style="335" customWidth="1"/>
    <col min="4348" max="4348" width="30.140625" style="335" customWidth="1"/>
    <col min="4349" max="4352" width="29" style="335"/>
    <col min="4353" max="4353" width="5.42578125" style="335" customWidth="1"/>
    <col min="4354" max="4354" width="29.140625" style="335" customWidth="1"/>
    <col min="4355" max="4355" width="24.140625" style="335" customWidth="1"/>
    <col min="4356" max="4356" width="18" style="335" bestFit="1" customWidth="1"/>
    <col min="4357" max="4357" width="31.140625" style="335" customWidth="1"/>
    <col min="4358" max="4358" width="4.7109375" style="335" customWidth="1"/>
    <col min="4359" max="4359" width="9.140625" style="335" customWidth="1"/>
    <col min="4360" max="4360" width="19.140625" style="335" customWidth="1"/>
    <col min="4361" max="4361" width="13.140625" style="335" customWidth="1"/>
    <col min="4362" max="4362" width="14.5703125" style="335" customWidth="1"/>
    <col min="4363" max="4363" width="15" style="335" customWidth="1"/>
    <col min="4364" max="4364" width="8.7109375" style="335" customWidth="1"/>
    <col min="4365" max="4365" width="13" style="335" customWidth="1"/>
    <col min="4366" max="4366" width="8.7109375" style="335" customWidth="1"/>
    <col min="4367" max="4367" width="8.5703125" style="335" customWidth="1"/>
    <col min="4368" max="4368" width="22.42578125" style="335" customWidth="1"/>
    <col min="4369" max="4600" width="14.42578125" style="335" customWidth="1"/>
    <col min="4601" max="4601" width="5.42578125" style="335" customWidth="1"/>
    <col min="4602" max="4602" width="19.140625" style="335" customWidth="1"/>
    <col min="4603" max="4603" width="2.85546875" style="335" customWidth="1"/>
    <col min="4604" max="4604" width="30.140625" style="335" customWidth="1"/>
    <col min="4605" max="4608" width="29" style="335"/>
    <col min="4609" max="4609" width="5.42578125" style="335" customWidth="1"/>
    <col min="4610" max="4610" width="29.140625" style="335" customWidth="1"/>
    <col min="4611" max="4611" width="24.140625" style="335" customWidth="1"/>
    <col min="4612" max="4612" width="18" style="335" bestFit="1" customWidth="1"/>
    <col min="4613" max="4613" width="31.140625" style="335" customWidth="1"/>
    <col min="4614" max="4614" width="4.7109375" style="335" customWidth="1"/>
    <col min="4615" max="4615" width="9.140625" style="335" customWidth="1"/>
    <col min="4616" max="4616" width="19.140625" style="335" customWidth="1"/>
    <col min="4617" max="4617" width="13.140625" style="335" customWidth="1"/>
    <col min="4618" max="4618" width="14.5703125" style="335" customWidth="1"/>
    <col min="4619" max="4619" width="15" style="335" customWidth="1"/>
    <col min="4620" max="4620" width="8.7109375" style="335" customWidth="1"/>
    <col min="4621" max="4621" width="13" style="335" customWidth="1"/>
    <col min="4622" max="4622" width="8.7109375" style="335" customWidth="1"/>
    <col min="4623" max="4623" width="8.5703125" style="335" customWidth="1"/>
    <col min="4624" max="4624" width="22.42578125" style="335" customWidth="1"/>
    <col min="4625" max="4856" width="14.42578125" style="335" customWidth="1"/>
    <col min="4857" max="4857" width="5.42578125" style="335" customWidth="1"/>
    <col min="4858" max="4858" width="19.140625" style="335" customWidth="1"/>
    <col min="4859" max="4859" width="2.85546875" style="335" customWidth="1"/>
    <col min="4860" max="4860" width="30.140625" style="335" customWidth="1"/>
    <col min="4861" max="4864" width="29" style="335"/>
    <col min="4865" max="4865" width="5.42578125" style="335" customWidth="1"/>
    <col min="4866" max="4866" width="29.140625" style="335" customWidth="1"/>
    <col min="4867" max="4867" width="24.140625" style="335" customWidth="1"/>
    <col min="4868" max="4868" width="18" style="335" bestFit="1" customWidth="1"/>
    <col min="4869" max="4869" width="31.140625" style="335" customWidth="1"/>
    <col min="4870" max="4870" width="4.7109375" style="335" customWidth="1"/>
    <col min="4871" max="4871" width="9.140625" style="335" customWidth="1"/>
    <col min="4872" max="4872" width="19.140625" style="335" customWidth="1"/>
    <col min="4873" max="4873" width="13.140625" style="335" customWidth="1"/>
    <col min="4874" max="4874" width="14.5703125" style="335" customWidth="1"/>
    <col min="4875" max="4875" width="15" style="335" customWidth="1"/>
    <col min="4876" max="4876" width="8.7109375" style="335" customWidth="1"/>
    <col min="4877" max="4877" width="13" style="335" customWidth="1"/>
    <col min="4878" max="4878" width="8.7109375" style="335" customWidth="1"/>
    <col min="4879" max="4879" width="8.5703125" style="335" customWidth="1"/>
    <col min="4880" max="4880" width="22.42578125" style="335" customWidth="1"/>
    <col min="4881" max="5112" width="14.42578125" style="335" customWidth="1"/>
    <col min="5113" max="5113" width="5.42578125" style="335" customWidth="1"/>
    <col min="5114" max="5114" width="19.140625" style="335" customWidth="1"/>
    <col min="5115" max="5115" width="2.85546875" style="335" customWidth="1"/>
    <col min="5116" max="5116" width="30.140625" style="335" customWidth="1"/>
    <col min="5117" max="5120" width="29" style="335"/>
    <col min="5121" max="5121" width="5.42578125" style="335" customWidth="1"/>
    <col min="5122" max="5122" width="29.140625" style="335" customWidth="1"/>
    <col min="5123" max="5123" width="24.140625" style="335" customWidth="1"/>
    <col min="5124" max="5124" width="18" style="335" bestFit="1" customWidth="1"/>
    <col min="5125" max="5125" width="31.140625" style="335" customWidth="1"/>
    <col min="5126" max="5126" width="4.7109375" style="335" customWidth="1"/>
    <col min="5127" max="5127" width="9.140625" style="335" customWidth="1"/>
    <col min="5128" max="5128" width="19.140625" style="335" customWidth="1"/>
    <col min="5129" max="5129" width="13.140625" style="335" customWidth="1"/>
    <col min="5130" max="5130" width="14.5703125" style="335" customWidth="1"/>
    <col min="5131" max="5131" width="15" style="335" customWidth="1"/>
    <col min="5132" max="5132" width="8.7109375" style="335" customWidth="1"/>
    <col min="5133" max="5133" width="13" style="335" customWidth="1"/>
    <col min="5134" max="5134" width="8.7109375" style="335" customWidth="1"/>
    <col min="5135" max="5135" width="8.5703125" style="335" customWidth="1"/>
    <col min="5136" max="5136" width="22.42578125" style="335" customWidth="1"/>
    <col min="5137" max="5368" width="14.42578125" style="335" customWidth="1"/>
    <col min="5369" max="5369" width="5.42578125" style="335" customWidth="1"/>
    <col min="5370" max="5370" width="19.140625" style="335" customWidth="1"/>
    <col min="5371" max="5371" width="2.85546875" style="335" customWidth="1"/>
    <col min="5372" max="5372" width="30.140625" style="335" customWidth="1"/>
    <col min="5373" max="5376" width="29" style="335"/>
    <col min="5377" max="5377" width="5.42578125" style="335" customWidth="1"/>
    <col min="5378" max="5378" width="29.140625" style="335" customWidth="1"/>
    <col min="5379" max="5379" width="24.140625" style="335" customWidth="1"/>
    <col min="5380" max="5380" width="18" style="335" bestFit="1" customWidth="1"/>
    <col min="5381" max="5381" width="31.140625" style="335" customWidth="1"/>
    <col min="5382" max="5382" width="4.7109375" style="335" customWidth="1"/>
    <col min="5383" max="5383" width="9.140625" style="335" customWidth="1"/>
    <col min="5384" max="5384" width="19.140625" style="335" customWidth="1"/>
    <col min="5385" max="5385" width="13.140625" style="335" customWidth="1"/>
    <col min="5386" max="5386" width="14.5703125" style="335" customWidth="1"/>
    <col min="5387" max="5387" width="15" style="335" customWidth="1"/>
    <col min="5388" max="5388" width="8.7109375" style="335" customWidth="1"/>
    <col min="5389" max="5389" width="13" style="335" customWidth="1"/>
    <col min="5390" max="5390" width="8.7109375" style="335" customWidth="1"/>
    <col min="5391" max="5391" width="8.5703125" style="335" customWidth="1"/>
    <col min="5392" max="5392" width="22.42578125" style="335" customWidth="1"/>
    <col min="5393" max="5624" width="14.42578125" style="335" customWidth="1"/>
    <col min="5625" max="5625" width="5.42578125" style="335" customWidth="1"/>
    <col min="5626" max="5626" width="19.140625" style="335" customWidth="1"/>
    <col min="5627" max="5627" width="2.85546875" style="335" customWidth="1"/>
    <col min="5628" max="5628" width="30.140625" style="335" customWidth="1"/>
    <col min="5629" max="5632" width="29" style="335"/>
    <col min="5633" max="5633" width="5.42578125" style="335" customWidth="1"/>
    <col min="5634" max="5634" width="29.140625" style="335" customWidth="1"/>
    <col min="5635" max="5635" width="24.140625" style="335" customWidth="1"/>
    <col min="5636" max="5636" width="18" style="335" bestFit="1" customWidth="1"/>
    <col min="5637" max="5637" width="31.140625" style="335" customWidth="1"/>
    <col min="5638" max="5638" width="4.7109375" style="335" customWidth="1"/>
    <col min="5639" max="5639" width="9.140625" style="335" customWidth="1"/>
    <col min="5640" max="5640" width="19.140625" style="335" customWidth="1"/>
    <col min="5641" max="5641" width="13.140625" style="335" customWidth="1"/>
    <col min="5642" max="5642" width="14.5703125" style="335" customWidth="1"/>
    <col min="5643" max="5643" width="15" style="335" customWidth="1"/>
    <col min="5644" max="5644" width="8.7109375" style="335" customWidth="1"/>
    <col min="5645" max="5645" width="13" style="335" customWidth="1"/>
    <col min="5646" max="5646" width="8.7109375" style="335" customWidth="1"/>
    <col min="5647" max="5647" width="8.5703125" style="335" customWidth="1"/>
    <col min="5648" max="5648" width="22.42578125" style="335" customWidth="1"/>
    <col min="5649" max="5880" width="14.42578125" style="335" customWidth="1"/>
    <col min="5881" max="5881" width="5.42578125" style="335" customWidth="1"/>
    <col min="5882" max="5882" width="19.140625" style="335" customWidth="1"/>
    <col min="5883" max="5883" width="2.85546875" style="335" customWidth="1"/>
    <col min="5884" max="5884" width="30.140625" style="335" customWidth="1"/>
    <col min="5885" max="5888" width="29" style="335"/>
    <col min="5889" max="5889" width="5.42578125" style="335" customWidth="1"/>
    <col min="5890" max="5890" width="29.140625" style="335" customWidth="1"/>
    <col min="5891" max="5891" width="24.140625" style="335" customWidth="1"/>
    <col min="5892" max="5892" width="18" style="335" bestFit="1" customWidth="1"/>
    <col min="5893" max="5893" width="31.140625" style="335" customWidth="1"/>
    <col min="5894" max="5894" width="4.7109375" style="335" customWidth="1"/>
    <col min="5895" max="5895" width="9.140625" style="335" customWidth="1"/>
    <col min="5896" max="5896" width="19.140625" style="335" customWidth="1"/>
    <col min="5897" max="5897" width="13.140625" style="335" customWidth="1"/>
    <col min="5898" max="5898" width="14.5703125" style="335" customWidth="1"/>
    <col min="5899" max="5899" width="15" style="335" customWidth="1"/>
    <col min="5900" max="5900" width="8.7109375" style="335" customWidth="1"/>
    <col min="5901" max="5901" width="13" style="335" customWidth="1"/>
    <col min="5902" max="5902" width="8.7109375" style="335" customWidth="1"/>
    <col min="5903" max="5903" width="8.5703125" style="335" customWidth="1"/>
    <col min="5904" max="5904" width="22.42578125" style="335" customWidth="1"/>
    <col min="5905" max="6136" width="14.42578125" style="335" customWidth="1"/>
    <col min="6137" max="6137" width="5.42578125" style="335" customWidth="1"/>
    <col min="6138" max="6138" width="19.140625" style="335" customWidth="1"/>
    <col min="6139" max="6139" width="2.85546875" style="335" customWidth="1"/>
    <col min="6140" max="6140" width="30.140625" style="335" customWidth="1"/>
    <col min="6141" max="6144" width="29" style="335"/>
    <col min="6145" max="6145" width="5.42578125" style="335" customWidth="1"/>
    <col min="6146" max="6146" width="29.140625" style="335" customWidth="1"/>
    <col min="6147" max="6147" width="24.140625" style="335" customWidth="1"/>
    <col min="6148" max="6148" width="18" style="335" bestFit="1" customWidth="1"/>
    <col min="6149" max="6149" width="31.140625" style="335" customWidth="1"/>
    <col min="6150" max="6150" width="4.7109375" style="335" customWidth="1"/>
    <col min="6151" max="6151" width="9.140625" style="335" customWidth="1"/>
    <col min="6152" max="6152" width="19.140625" style="335" customWidth="1"/>
    <col min="6153" max="6153" width="13.140625" style="335" customWidth="1"/>
    <col min="6154" max="6154" width="14.5703125" style="335" customWidth="1"/>
    <col min="6155" max="6155" width="15" style="335" customWidth="1"/>
    <col min="6156" max="6156" width="8.7109375" style="335" customWidth="1"/>
    <col min="6157" max="6157" width="13" style="335" customWidth="1"/>
    <col min="6158" max="6158" width="8.7109375" style="335" customWidth="1"/>
    <col min="6159" max="6159" width="8.5703125" style="335" customWidth="1"/>
    <col min="6160" max="6160" width="22.42578125" style="335" customWidth="1"/>
    <col min="6161" max="6392" width="14.42578125" style="335" customWidth="1"/>
    <col min="6393" max="6393" width="5.42578125" style="335" customWidth="1"/>
    <col min="6394" max="6394" width="19.140625" style="335" customWidth="1"/>
    <col min="6395" max="6395" width="2.85546875" style="335" customWidth="1"/>
    <col min="6396" max="6396" width="30.140625" style="335" customWidth="1"/>
    <col min="6397" max="6400" width="29" style="335"/>
    <col min="6401" max="6401" width="5.42578125" style="335" customWidth="1"/>
    <col min="6402" max="6402" width="29.140625" style="335" customWidth="1"/>
    <col min="6403" max="6403" width="24.140625" style="335" customWidth="1"/>
    <col min="6404" max="6404" width="18" style="335" bestFit="1" customWidth="1"/>
    <col min="6405" max="6405" width="31.140625" style="335" customWidth="1"/>
    <col min="6406" max="6406" width="4.7109375" style="335" customWidth="1"/>
    <col min="6407" max="6407" width="9.140625" style="335" customWidth="1"/>
    <col min="6408" max="6408" width="19.140625" style="335" customWidth="1"/>
    <col min="6409" max="6409" width="13.140625" style="335" customWidth="1"/>
    <col min="6410" max="6410" width="14.5703125" style="335" customWidth="1"/>
    <col min="6411" max="6411" width="15" style="335" customWidth="1"/>
    <col min="6412" max="6412" width="8.7109375" style="335" customWidth="1"/>
    <col min="6413" max="6413" width="13" style="335" customWidth="1"/>
    <col min="6414" max="6414" width="8.7109375" style="335" customWidth="1"/>
    <col min="6415" max="6415" width="8.5703125" style="335" customWidth="1"/>
    <col min="6416" max="6416" width="22.42578125" style="335" customWidth="1"/>
    <col min="6417" max="6648" width="14.42578125" style="335" customWidth="1"/>
    <col min="6649" max="6649" width="5.42578125" style="335" customWidth="1"/>
    <col min="6650" max="6650" width="19.140625" style="335" customWidth="1"/>
    <col min="6651" max="6651" width="2.85546875" style="335" customWidth="1"/>
    <col min="6652" max="6652" width="30.140625" style="335" customWidth="1"/>
    <col min="6653" max="6656" width="29" style="335"/>
    <col min="6657" max="6657" width="5.42578125" style="335" customWidth="1"/>
    <col min="6658" max="6658" width="29.140625" style="335" customWidth="1"/>
    <col min="6659" max="6659" width="24.140625" style="335" customWidth="1"/>
    <col min="6660" max="6660" width="18" style="335" bestFit="1" customWidth="1"/>
    <col min="6661" max="6661" width="31.140625" style="335" customWidth="1"/>
    <col min="6662" max="6662" width="4.7109375" style="335" customWidth="1"/>
    <col min="6663" max="6663" width="9.140625" style="335" customWidth="1"/>
    <col min="6664" max="6664" width="19.140625" style="335" customWidth="1"/>
    <col min="6665" max="6665" width="13.140625" style="335" customWidth="1"/>
    <col min="6666" max="6666" width="14.5703125" style="335" customWidth="1"/>
    <col min="6667" max="6667" width="15" style="335" customWidth="1"/>
    <col min="6668" max="6668" width="8.7109375" style="335" customWidth="1"/>
    <col min="6669" max="6669" width="13" style="335" customWidth="1"/>
    <col min="6670" max="6670" width="8.7109375" style="335" customWidth="1"/>
    <col min="6671" max="6671" width="8.5703125" style="335" customWidth="1"/>
    <col min="6672" max="6672" width="22.42578125" style="335" customWidth="1"/>
    <col min="6673" max="6904" width="14.42578125" style="335" customWidth="1"/>
    <col min="6905" max="6905" width="5.42578125" style="335" customWidth="1"/>
    <col min="6906" max="6906" width="19.140625" style="335" customWidth="1"/>
    <col min="6907" max="6907" width="2.85546875" style="335" customWidth="1"/>
    <col min="6908" max="6908" width="30.140625" style="335" customWidth="1"/>
    <col min="6909" max="6912" width="29" style="335"/>
    <col min="6913" max="6913" width="5.42578125" style="335" customWidth="1"/>
    <col min="6914" max="6914" width="29.140625" style="335" customWidth="1"/>
    <col min="6915" max="6915" width="24.140625" style="335" customWidth="1"/>
    <col min="6916" max="6916" width="18" style="335" bestFit="1" customWidth="1"/>
    <col min="6917" max="6917" width="31.140625" style="335" customWidth="1"/>
    <col min="6918" max="6918" width="4.7109375" style="335" customWidth="1"/>
    <col min="6919" max="6919" width="9.140625" style="335" customWidth="1"/>
    <col min="6920" max="6920" width="19.140625" style="335" customWidth="1"/>
    <col min="6921" max="6921" width="13.140625" style="335" customWidth="1"/>
    <col min="6922" max="6922" width="14.5703125" style="335" customWidth="1"/>
    <col min="6923" max="6923" width="15" style="335" customWidth="1"/>
    <col min="6924" max="6924" width="8.7109375" style="335" customWidth="1"/>
    <col min="6925" max="6925" width="13" style="335" customWidth="1"/>
    <col min="6926" max="6926" width="8.7109375" style="335" customWidth="1"/>
    <col min="6927" max="6927" width="8.5703125" style="335" customWidth="1"/>
    <col min="6928" max="6928" width="22.42578125" style="335" customWidth="1"/>
    <col min="6929" max="7160" width="14.42578125" style="335" customWidth="1"/>
    <col min="7161" max="7161" width="5.42578125" style="335" customWidth="1"/>
    <col min="7162" max="7162" width="19.140625" style="335" customWidth="1"/>
    <col min="7163" max="7163" width="2.85546875" style="335" customWidth="1"/>
    <col min="7164" max="7164" width="30.140625" style="335" customWidth="1"/>
    <col min="7165" max="7168" width="29" style="335"/>
    <col min="7169" max="7169" width="5.42578125" style="335" customWidth="1"/>
    <col min="7170" max="7170" width="29.140625" style="335" customWidth="1"/>
    <col min="7171" max="7171" width="24.140625" style="335" customWidth="1"/>
    <col min="7172" max="7172" width="18" style="335" bestFit="1" customWidth="1"/>
    <col min="7173" max="7173" width="31.140625" style="335" customWidth="1"/>
    <col min="7174" max="7174" width="4.7109375" style="335" customWidth="1"/>
    <col min="7175" max="7175" width="9.140625" style="335" customWidth="1"/>
    <col min="7176" max="7176" width="19.140625" style="335" customWidth="1"/>
    <col min="7177" max="7177" width="13.140625" style="335" customWidth="1"/>
    <col min="7178" max="7178" width="14.5703125" style="335" customWidth="1"/>
    <col min="7179" max="7179" width="15" style="335" customWidth="1"/>
    <col min="7180" max="7180" width="8.7109375" style="335" customWidth="1"/>
    <col min="7181" max="7181" width="13" style="335" customWidth="1"/>
    <col min="7182" max="7182" width="8.7109375" style="335" customWidth="1"/>
    <col min="7183" max="7183" width="8.5703125" style="335" customWidth="1"/>
    <col min="7184" max="7184" width="22.42578125" style="335" customWidth="1"/>
    <col min="7185" max="7416" width="14.42578125" style="335" customWidth="1"/>
    <col min="7417" max="7417" width="5.42578125" style="335" customWidth="1"/>
    <col min="7418" max="7418" width="19.140625" style="335" customWidth="1"/>
    <col min="7419" max="7419" width="2.85546875" style="335" customWidth="1"/>
    <col min="7420" max="7420" width="30.140625" style="335" customWidth="1"/>
    <col min="7421" max="7424" width="29" style="335"/>
    <col min="7425" max="7425" width="5.42578125" style="335" customWidth="1"/>
    <col min="7426" max="7426" width="29.140625" style="335" customWidth="1"/>
    <col min="7427" max="7427" width="24.140625" style="335" customWidth="1"/>
    <col min="7428" max="7428" width="18" style="335" bestFit="1" customWidth="1"/>
    <col min="7429" max="7429" width="31.140625" style="335" customWidth="1"/>
    <col min="7430" max="7430" width="4.7109375" style="335" customWidth="1"/>
    <col min="7431" max="7431" width="9.140625" style="335" customWidth="1"/>
    <col min="7432" max="7432" width="19.140625" style="335" customWidth="1"/>
    <col min="7433" max="7433" width="13.140625" style="335" customWidth="1"/>
    <col min="7434" max="7434" width="14.5703125" style="335" customWidth="1"/>
    <col min="7435" max="7435" width="15" style="335" customWidth="1"/>
    <col min="7436" max="7436" width="8.7109375" style="335" customWidth="1"/>
    <col min="7437" max="7437" width="13" style="335" customWidth="1"/>
    <col min="7438" max="7438" width="8.7109375" style="335" customWidth="1"/>
    <col min="7439" max="7439" width="8.5703125" style="335" customWidth="1"/>
    <col min="7440" max="7440" width="22.42578125" style="335" customWidth="1"/>
    <col min="7441" max="7672" width="14.42578125" style="335" customWidth="1"/>
    <col min="7673" max="7673" width="5.42578125" style="335" customWidth="1"/>
    <col min="7674" max="7674" width="19.140625" style="335" customWidth="1"/>
    <col min="7675" max="7675" width="2.85546875" style="335" customWidth="1"/>
    <col min="7676" max="7676" width="30.140625" style="335" customWidth="1"/>
    <col min="7677" max="7680" width="29" style="335"/>
    <col min="7681" max="7681" width="5.42578125" style="335" customWidth="1"/>
    <col min="7682" max="7682" width="29.140625" style="335" customWidth="1"/>
    <col min="7683" max="7683" width="24.140625" style="335" customWidth="1"/>
    <col min="7684" max="7684" width="18" style="335" bestFit="1" customWidth="1"/>
    <col min="7685" max="7685" width="31.140625" style="335" customWidth="1"/>
    <col min="7686" max="7686" width="4.7109375" style="335" customWidth="1"/>
    <col min="7687" max="7687" width="9.140625" style="335" customWidth="1"/>
    <col min="7688" max="7688" width="19.140625" style="335" customWidth="1"/>
    <col min="7689" max="7689" width="13.140625" style="335" customWidth="1"/>
    <col min="7690" max="7690" width="14.5703125" style="335" customWidth="1"/>
    <col min="7691" max="7691" width="15" style="335" customWidth="1"/>
    <col min="7692" max="7692" width="8.7109375" style="335" customWidth="1"/>
    <col min="7693" max="7693" width="13" style="335" customWidth="1"/>
    <col min="7694" max="7694" width="8.7109375" style="335" customWidth="1"/>
    <col min="7695" max="7695" width="8.5703125" style="335" customWidth="1"/>
    <col min="7696" max="7696" width="22.42578125" style="335" customWidth="1"/>
    <col min="7697" max="7928" width="14.42578125" style="335" customWidth="1"/>
    <col min="7929" max="7929" width="5.42578125" style="335" customWidth="1"/>
    <col min="7930" max="7930" width="19.140625" style="335" customWidth="1"/>
    <col min="7931" max="7931" width="2.85546875" style="335" customWidth="1"/>
    <col min="7932" max="7932" width="30.140625" style="335" customWidth="1"/>
    <col min="7933" max="7936" width="29" style="335"/>
    <col min="7937" max="7937" width="5.42578125" style="335" customWidth="1"/>
    <col min="7938" max="7938" width="29.140625" style="335" customWidth="1"/>
    <col min="7939" max="7939" width="24.140625" style="335" customWidth="1"/>
    <col min="7940" max="7940" width="18" style="335" bestFit="1" customWidth="1"/>
    <col min="7941" max="7941" width="31.140625" style="335" customWidth="1"/>
    <col min="7942" max="7942" width="4.7109375" style="335" customWidth="1"/>
    <col min="7943" max="7943" width="9.140625" style="335" customWidth="1"/>
    <col min="7944" max="7944" width="19.140625" style="335" customWidth="1"/>
    <col min="7945" max="7945" width="13.140625" style="335" customWidth="1"/>
    <col min="7946" max="7946" width="14.5703125" style="335" customWidth="1"/>
    <col min="7947" max="7947" width="15" style="335" customWidth="1"/>
    <col min="7948" max="7948" width="8.7109375" style="335" customWidth="1"/>
    <col min="7949" max="7949" width="13" style="335" customWidth="1"/>
    <col min="7950" max="7950" width="8.7109375" style="335" customWidth="1"/>
    <col min="7951" max="7951" width="8.5703125" style="335" customWidth="1"/>
    <col min="7952" max="7952" width="22.42578125" style="335" customWidth="1"/>
    <col min="7953" max="8184" width="14.42578125" style="335" customWidth="1"/>
    <col min="8185" max="8185" width="5.42578125" style="335" customWidth="1"/>
    <col min="8186" max="8186" width="19.140625" style="335" customWidth="1"/>
    <col min="8187" max="8187" width="2.85546875" style="335" customWidth="1"/>
    <col min="8188" max="8188" width="30.140625" style="335" customWidth="1"/>
    <col min="8189" max="8192" width="29" style="335"/>
    <col min="8193" max="8193" width="5.42578125" style="335" customWidth="1"/>
    <col min="8194" max="8194" width="29.140625" style="335" customWidth="1"/>
    <col min="8195" max="8195" width="24.140625" style="335" customWidth="1"/>
    <col min="8196" max="8196" width="18" style="335" bestFit="1" customWidth="1"/>
    <col min="8197" max="8197" width="31.140625" style="335" customWidth="1"/>
    <col min="8198" max="8198" width="4.7109375" style="335" customWidth="1"/>
    <col min="8199" max="8199" width="9.140625" style="335" customWidth="1"/>
    <col min="8200" max="8200" width="19.140625" style="335" customWidth="1"/>
    <col min="8201" max="8201" width="13.140625" style="335" customWidth="1"/>
    <col min="8202" max="8202" width="14.5703125" style="335" customWidth="1"/>
    <col min="8203" max="8203" width="15" style="335" customWidth="1"/>
    <col min="8204" max="8204" width="8.7109375" style="335" customWidth="1"/>
    <col min="8205" max="8205" width="13" style="335" customWidth="1"/>
    <col min="8206" max="8206" width="8.7109375" style="335" customWidth="1"/>
    <col min="8207" max="8207" width="8.5703125" style="335" customWidth="1"/>
    <col min="8208" max="8208" width="22.42578125" style="335" customWidth="1"/>
    <col min="8209" max="8440" width="14.42578125" style="335" customWidth="1"/>
    <col min="8441" max="8441" width="5.42578125" style="335" customWidth="1"/>
    <col min="8442" max="8442" width="19.140625" style="335" customWidth="1"/>
    <col min="8443" max="8443" width="2.85546875" style="335" customWidth="1"/>
    <col min="8444" max="8444" width="30.140625" style="335" customWidth="1"/>
    <col min="8445" max="8448" width="29" style="335"/>
    <col min="8449" max="8449" width="5.42578125" style="335" customWidth="1"/>
    <col min="8450" max="8450" width="29.140625" style="335" customWidth="1"/>
    <col min="8451" max="8451" width="24.140625" style="335" customWidth="1"/>
    <col min="8452" max="8452" width="18" style="335" bestFit="1" customWidth="1"/>
    <col min="8453" max="8453" width="31.140625" style="335" customWidth="1"/>
    <col min="8454" max="8454" width="4.7109375" style="335" customWidth="1"/>
    <col min="8455" max="8455" width="9.140625" style="335" customWidth="1"/>
    <col min="8456" max="8456" width="19.140625" style="335" customWidth="1"/>
    <col min="8457" max="8457" width="13.140625" style="335" customWidth="1"/>
    <col min="8458" max="8458" width="14.5703125" style="335" customWidth="1"/>
    <col min="8459" max="8459" width="15" style="335" customWidth="1"/>
    <col min="8460" max="8460" width="8.7109375" style="335" customWidth="1"/>
    <col min="8461" max="8461" width="13" style="335" customWidth="1"/>
    <col min="8462" max="8462" width="8.7109375" style="335" customWidth="1"/>
    <col min="8463" max="8463" width="8.5703125" style="335" customWidth="1"/>
    <col min="8464" max="8464" width="22.42578125" style="335" customWidth="1"/>
    <col min="8465" max="8696" width="14.42578125" style="335" customWidth="1"/>
    <col min="8697" max="8697" width="5.42578125" style="335" customWidth="1"/>
    <col min="8698" max="8698" width="19.140625" style="335" customWidth="1"/>
    <col min="8699" max="8699" width="2.85546875" style="335" customWidth="1"/>
    <col min="8700" max="8700" width="30.140625" style="335" customWidth="1"/>
    <col min="8701" max="8704" width="29" style="335"/>
    <col min="8705" max="8705" width="5.42578125" style="335" customWidth="1"/>
    <col min="8706" max="8706" width="29.140625" style="335" customWidth="1"/>
    <col min="8707" max="8707" width="24.140625" style="335" customWidth="1"/>
    <col min="8708" max="8708" width="18" style="335" bestFit="1" customWidth="1"/>
    <col min="8709" max="8709" width="31.140625" style="335" customWidth="1"/>
    <col min="8710" max="8710" width="4.7109375" style="335" customWidth="1"/>
    <col min="8711" max="8711" width="9.140625" style="335" customWidth="1"/>
    <col min="8712" max="8712" width="19.140625" style="335" customWidth="1"/>
    <col min="8713" max="8713" width="13.140625" style="335" customWidth="1"/>
    <col min="8714" max="8714" width="14.5703125" style="335" customWidth="1"/>
    <col min="8715" max="8715" width="15" style="335" customWidth="1"/>
    <col min="8716" max="8716" width="8.7109375" style="335" customWidth="1"/>
    <col min="8717" max="8717" width="13" style="335" customWidth="1"/>
    <col min="8718" max="8718" width="8.7109375" style="335" customWidth="1"/>
    <col min="8719" max="8719" width="8.5703125" style="335" customWidth="1"/>
    <col min="8720" max="8720" width="22.42578125" style="335" customWidth="1"/>
    <col min="8721" max="8952" width="14.42578125" style="335" customWidth="1"/>
    <col min="8953" max="8953" width="5.42578125" style="335" customWidth="1"/>
    <col min="8954" max="8954" width="19.140625" style="335" customWidth="1"/>
    <col min="8955" max="8955" width="2.85546875" style="335" customWidth="1"/>
    <col min="8956" max="8956" width="30.140625" style="335" customWidth="1"/>
    <col min="8957" max="8960" width="29" style="335"/>
    <col min="8961" max="8961" width="5.42578125" style="335" customWidth="1"/>
    <col min="8962" max="8962" width="29.140625" style="335" customWidth="1"/>
    <col min="8963" max="8963" width="24.140625" style="335" customWidth="1"/>
    <col min="8964" max="8964" width="18" style="335" bestFit="1" customWidth="1"/>
    <col min="8965" max="8965" width="31.140625" style="335" customWidth="1"/>
    <col min="8966" max="8966" width="4.7109375" style="335" customWidth="1"/>
    <col min="8967" max="8967" width="9.140625" style="335" customWidth="1"/>
    <col min="8968" max="8968" width="19.140625" style="335" customWidth="1"/>
    <col min="8969" max="8969" width="13.140625" style="335" customWidth="1"/>
    <col min="8970" max="8970" width="14.5703125" style="335" customWidth="1"/>
    <col min="8971" max="8971" width="15" style="335" customWidth="1"/>
    <col min="8972" max="8972" width="8.7109375" style="335" customWidth="1"/>
    <col min="8973" max="8973" width="13" style="335" customWidth="1"/>
    <col min="8974" max="8974" width="8.7109375" style="335" customWidth="1"/>
    <col min="8975" max="8975" width="8.5703125" style="335" customWidth="1"/>
    <col min="8976" max="8976" width="22.42578125" style="335" customWidth="1"/>
    <col min="8977" max="9208" width="14.42578125" style="335" customWidth="1"/>
    <col min="9209" max="9209" width="5.42578125" style="335" customWidth="1"/>
    <col min="9210" max="9210" width="19.140625" style="335" customWidth="1"/>
    <col min="9211" max="9211" width="2.85546875" style="335" customWidth="1"/>
    <col min="9212" max="9212" width="30.140625" style="335" customWidth="1"/>
    <col min="9213" max="9216" width="29" style="335"/>
    <col min="9217" max="9217" width="5.42578125" style="335" customWidth="1"/>
    <col min="9218" max="9218" width="29.140625" style="335" customWidth="1"/>
    <col min="9219" max="9219" width="24.140625" style="335" customWidth="1"/>
    <col min="9220" max="9220" width="18" style="335" bestFit="1" customWidth="1"/>
    <col min="9221" max="9221" width="31.140625" style="335" customWidth="1"/>
    <col min="9222" max="9222" width="4.7109375" style="335" customWidth="1"/>
    <col min="9223" max="9223" width="9.140625" style="335" customWidth="1"/>
    <col min="9224" max="9224" width="19.140625" style="335" customWidth="1"/>
    <col min="9225" max="9225" width="13.140625" style="335" customWidth="1"/>
    <col min="9226" max="9226" width="14.5703125" style="335" customWidth="1"/>
    <col min="9227" max="9227" width="15" style="335" customWidth="1"/>
    <col min="9228" max="9228" width="8.7109375" style="335" customWidth="1"/>
    <col min="9229" max="9229" width="13" style="335" customWidth="1"/>
    <col min="9230" max="9230" width="8.7109375" style="335" customWidth="1"/>
    <col min="9231" max="9231" width="8.5703125" style="335" customWidth="1"/>
    <col min="9232" max="9232" width="22.42578125" style="335" customWidth="1"/>
    <col min="9233" max="9464" width="14.42578125" style="335" customWidth="1"/>
    <col min="9465" max="9465" width="5.42578125" style="335" customWidth="1"/>
    <col min="9466" max="9466" width="19.140625" style="335" customWidth="1"/>
    <col min="9467" max="9467" width="2.85546875" style="335" customWidth="1"/>
    <col min="9468" max="9468" width="30.140625" style="335" customWidth="1"/>
    <col min="9469" max="9472" width="29" style="335"/>
    <col min="9473" max="9473" width="5.42578125" style="335" customWidth="1"/>
    <col min="9474" max="9474" width="29.140625" style="335" customWidth="1"/>
    <col min="9475" max="9475" width="24.140625" style="335" customWidth="1"/>
    <col min="9476" max="9476" width="18" style="335" bestFit="1" customWidth="1"/>
    <col min="9477" max="9477" width="31.140625" style="335" customWidth="1"/>
    <col min="9478" max="9478" width="4.7109375" style="335" customWidth="1"/>
    <col min="9479" max="9479" width="9.140625" style="335" customWidth="1"/>
    <col min="9480" max="9480" width="19.140625" style="335" customWidth="1"/>
    <col min="9481" max="9481" width="13.140625" style="335" customWidth="1"/>
    <col min="9482" max="9482" width="14.5703125" style="335" customWidth="1"/>
    <col min="9483" max="9483" width="15" style="335" customWidth="1"/>
    <col min="9484" max="9484" width="8.7109375" style="335" customWidth="1"/>
    <col min="9485" max="9485" width="13" style="335" customWidth="1"/>
    <col min="9486" max="9486" width="8.7109375" style="335" customWidth="1"/>
    <col min="9487" max="9487" width="8.5703125" style="335" customWidth="1"/>
    <col min="9488" max="9488" width="22.42578125" style="335" customWidth="1"/>
    <col min="9489" max="9720" width="14.42578125" style="335" customWidth="1"/>
    <col min="9721" max="9721" width="5.42578125" style="335" customWidth="1"/>
    <col min="9722" max="9722" width="19.140625" style="335" customWidth="1"/>
    <col min="9723" max="9723" width="2.85546875" style="335" customWidth="1"/>
    <col min="9724" max="9724" width="30.140625" style="335" customWidth="1"/>
    <col min="9725" max="9728" width="29" style="335"/>
    <col min="9729" max="9729" width="5.42578125" style="335" customWidth="1"/>
    <col min="9730" max="9730" width="29.140625" style="335" customWidth="1"/>
    <col min="9731" max="9731" width="24.140625" style="335" customWidth="1"/>
    <col min="9732" max="9732" width="18" style="335" bestFit="1" customWidth="1"/>
    <col min="9733" max="9733" width="31.140625" style="335" customWidth="1"/>
    <col min="9734" max="9734" width="4.7109375" style="335" customWidth="1"/>
    <col min="9735" max="9735" width="9.140625" style="335" customWidth="1"/>
    <col min="9736" max="9736" width="19.140625" style="335" customWidth="1"/>
    <col min="9737" max="9737" width="13.140625" style="335" customWidth="1"/>
    <col min="9738" max="9738" width="14.5703125" style="335" customWidth="1"/>
    <col min="9739" max="9739" width="15" style="335" customWidth="1"/>
    <col min="9740" max="9740" width="8.7109375" style="335" customWidth="1"/>
    <col min="9741" max="9741" width="13" style="335" customWidth="1"/>
    <col min="9742" max="9742" width="8.7109375" style="335" customWidth="1"/>
    <col min="9743" max="9743" width="8.5703125" style="335" customWidth="1"/>
    <col min="9744" max="9744" width="22.42578125" style="335" customWidth="1"/>
    <col min="9745" max="9976" width="14.42578125" style="335" customWidth="1"/>
    <col min="9977" max="9977" width="5.42578125" style="335" customWidth="1"/>
    <col min="9978" max="9978" width="19.140625" style="335" customWidth="1"/>
    <col min="9979" max="9979" width="2.85546875" style="335" customWidth="1"/>
    <col min="9980" max="9980" width="30.140625" style="335" customWidth="1"/>
    <col min="9981" max="9984" width="29" style="335"/>
    <col min="9985" max="9985" width="5.42578125" style="335" customWidth="1"/>
    <col min="9986" max="9986" width="29.140625" style="335" customWidth="1"/>
    <col min="9987" max="9987" width="24.140625" style="335" customWidth="1"/>
    <col min="9988" max="9988" width="18" style="335" bestFit="1" customWidth="1"/>
    <col min="9989" max="9989" width="31.140625" style="335" customWidth="1"/>
    <col min="9990" max="9990" width="4.7109375" style="335" customWidth="1"/>
    <col min="9991" max="9991" width="9.140625" style="335" customWidth="1"/>
    <col min="9992" max="9992" width="19.140625" style="335" customWidth="1"/>
    <col min="9993" max="9993" width="13.140625" style="335" customWidth="1"/>
    <col min="9994" max="9994" width="14.5703125" style="335" customWidth="1"/>
    <col min="9995" max="9995" width="15" style="335" customWidth="1"/>
    <col min="9996" max="9996" width="8.7109375" style="335" customWidth="1"/>
    <col min="9997" max="9997" width="13" style="335" customWidth="1"/>
    <col min="9998" max="9998" width="8.7109375" style="335" customWidth="1"/>
    <col min="9999" max="9999" width="8.5703125" style="335" customWidth="1"/>
    <col min="10000" max="10000" width="22.42578125" style="335" customWidth="1"/>
    <col min="10001" max="10232" width="14.42578125" style="335" customWidth="1"/>
    <col min="10233" max="10233" width="5.42578125" style="335" customWidth="1"/>
    <col min="10234" max="10234" width="19.140625" style="335" customWidth="1"/>
    <col min="10235" max="10235" width="2.85546875" style="335" customWidth="1"/>
    <col min="10236" max="10236" width="30.140625" style="335" customWidth="1"/>
    <col min="10237" max="10240" width="29" style="335"/>
    <col min="10241" max="10241" width="5.42578125" style="335" customWidth="1"/>
    <col min="10242" max="10242" width="29.140625" style="335" customWidth="1"/>
    <col min="10243" max="10243" width="24.140625" style="335" customWidth="1"/>
    <col min="10244" max="10244" width="18" style="335" bestFit="1" customWidth="1"/>
    <col min="10245" max="10245" width="31.140625" style="335" customWidth="1"/>
    <col min="10246" max="10246" width="4.7109375" style="335" customWidth="1"/>
    <col min="10247" max="10247" width="9.140625" style="335" customWidth="1"/>
    <col min="10248" max="10248" width="19.140625" style="335" customWidth="1"/>
    <col min="10249" max="10249" width="13.140625" style="335" customWidth="1"/>
    <col min="10250" max="10250" width="14.5703125" style="335" customWidth="1"/>
    <col min="10251" max="10251" width="15" style="335" customWidth="1"/>
    <col min="10252" max="10252" width="8.7109375" style="335" customWidth="1"/>
    <col min="10253" max="10253" width="13" style="335" customWidth="1"/>
    <col min="10254" max="10254" width="8.7109375" style="335" customWidth="1"/>
    <col min="10255" max="10255" width="8.5703125" style="335" customWidth="1"/>
    <col min="10256" max="10256" width="22.42578125" style="335" customWidth="1"/>
    <col min="10257" max="10488" width="14.42578125" style="335" customWidth="1"/>
    <col min="10489" max="10489" width="5.42578125" style="335" customWidth="1"/>
    <col min="10490" max="10490" width="19.140625" style="335" customWidth="1"/>
    <col min="10491" max="10491" width="2.85546875" style="335" customWidth="1"/>
    <col min="10492" max="10492" width="30.140625" style="335" customWidth="1"/>
    <col min="10493" max="10496" width="29" style="335"/>
    <col min="10497" max="10497" width="5.42578125" style="335" customWidth="1"/>
    <col min="10498" max="10498" width="29.140625" style="335" customWidth="1"/>
    <col min="10499" max="10499" width="24.140625" style="335" customWidth="1"/>
    <col min="10500" max="10500" width="18" style="335" bestFit="1" customWidth="1"/>
    <col min="10501" max="10501" width="31.140625" style="335" customWidth="1"/>
    <col min="10502" max="10502" width="4.7109375" style="335" customWidth="1"/>
    <col min="10503" max="10503" width="9.140625" style="335" customWidth="1"/>
    <col min="10504" max="10504" width="19.140625" style="335" customWidth="1"/>
    <col min="10505" max="10505" width="13.140625" style="335" customWidth="1"/>
    <col min="10506" max="10506" width="14.5703125" style="335" customWidth="1"/>
    <col min="10507" max="10507" width="15" style="335" customWidth="1"/>
    <col min="10508" max="10508" width="8.7109375" style="335" customWidth="1"/>
    <col min="10509" max="10509" width="13" style="335" customWidth="1"/>
    <col min="10510" max="10510" width="8.7109375" style="335" customWidth="1"/>
    <col min="10511" max="10511" width="8.5703125" style="335" customWidth="1"/>
    <col min="10512" max="10512" width="22.42578125" style="335" customWidth="1"/>
    <col min="10513" max="10744" width="14.42578125" style="335" customWidth="1"/>
    <col min="10745" max="10745" width="5.42578125" style="335" customWidth="1"/>
    <col min="10746" max="10746" width="19.140625" style="335" customWidth="1"/>
    <col min="10747" max="10747" width="2.85546875" style="335" customWidth="1"/>
    <col min="10748" max="10748" width="30.140625" style="335" customWidth="1"/>
    <col min="10749" max="10752" width="29" style="335"/>
    <col min="10753" max="10753" width="5.42578125" style="335" customWidth="1"/>
    <col min="10754" max="10754" width="29.140625" style="335" customWidth="1"/>
    <col min="10755" max="10755" width="24.140625" style="335" customWidth="1"/>
    <col min="10756" max="10756" width="18" style="335" bestFit="1" customWidth="1"/>
    <col min="10757" max="10757" width="31.140625" style="335" customWidth="1"/>
    <col min="10758" max="10758" width="4.7109375" style="335" customWidth="1"/>
    <col min="10759" max="10759" width="9.140625" style="335" customWidth="1"/>
    <col min="10760" max="10760" width="19.140625" style="335" customWidth="1"/>
    <col min="10761" max="10761" width="13.140625" style="335" customWidth="1"/>
    <col min="10762" max="10762" width="14.5703125" style="335" customWidth="1"/>
    <col min="10763" max="10763" width="15" style="335" customWidth="1"/>
    <col min="10764" max="10764" width="8.7109375" style="335" customWidth="1"/>
    <col min="10765" max="10765" width="13" style="335" customWidth="1"/>
    <col min="10766" max="10766" width="8.7109375" style="335" customWidth="1"/>
    <col min="10767" max="10767" width="8.5703125" style="335" customWidth="1"/>
    <col min="10768" max="10768" width="22.42578125" style="335" customWidth="1"/>
    <col min="10769" max="11000" width="14.42578125" style="335" customWidth="1"/>
    <col min="11001" max="11001" width="5.42578125" style="335" customWidth="1"/>
    <col min="11002" max="11002" width="19.140625" style="335" customWidth="1"/>
    <col min="11003" max="11003" width="2.85546875" style="335" customWidth="1"/>
    <col min="11004" max="11004" width="30.140625" style="335" customWidth="1"/>
    <col min="11005" max="11008" width="29" style="335"/>
    <col min="11009" max="11009" width="5.42578125" style="335" customWidth="1"/>
    <col min="11010" max="11010" width="29.140625" style="335" customWidth="1"/>
    <col min="11011" max="11011" width="24.140625" style="335" customWidth="1"/>
    <col min="11012" max="11012" width="18" style="335" bestFit="1" customWidth="1"/>
    <col min="11013" max="11013" width="31.140625" style="335" customWidth="1"/>
    <col min="11014" max="11014" width="4.7109375" style="335" customWidth="1"/>
    <col min="11015" max="11015" width="9.140625" style="335" customWidth="1"/>
    <col min="11016" max="11016" width="19.140625" style="335" customWidth="1"/>
    <col min="11017" max="11017" width="13.140625" style="335" customWidth="1"/>
    <col min="11018" max="11018" width="14.5703125" style="335" customWidth="1"/>
    <col min="11019" max="11019" width="15" style="335" customWidth="1"/>
    <col min="11020" max="11020" width="8.7109375" style="335" customWidth="1"/>
    <col min="11021" max="11021" width="13" style="335" customWidth="1"/>
    <col min="11022" max="11022" width="8.7109375" style="335" customWidth="1"/>
    <col min="11023" max="11023" width="8.5703125" style="335" customWidth="1"/>
    <col min="11024" max="11024" width="22.42578125" style="335" customWidth="1"/>
    <col min="11025" max="11256" width="14.42578125" style="335" customWidth="1"/>
    <col min="11257" max="11257" width="5.42578125" style="335" customWidth="1"/>
    <col min="11258" max="11258" width="19.140625" style="335" customWidth="1"/>
    <col min="11259" max="11259" width="2.85546875" style="335" customWidth="1"/>
    <col min="11260" max="11260" width="30.140625" style="335" customWidth="1"/>
    <col min="11261" max="11264" width="29" style="335"/>
    <col min="11265" max="11265" width="5.42578125" style="335" customWidth="1"/>
    <col min="11266" max="11266" width="29.140625" style="335" customWidth="1"/>
    <col min="11267" max="11267" width="24.140625" style="335" customWidth="1"/>
    <col min="11268" max="11268" width="18" style="335" bestFit="1" customWidth="1"/>
    <col min="11269" max="11269" width="31.140625" style="335" customWidth="1"/>
    <col min="11270" max="11270" width="4.7109375" style="335" customWidth="1"/>
    <col min="11271" max="11271" width="9.140625" style="335" customWidth="1"/>
    <col min="11272" max="11272" width="19.140625" style="335" customWidth="1"/>
    <col min="11273" max="11273" width="13.140625" style="335" customWidth="1"/>
    <col min="11274" max="11274" width="14.5703125" style="335" customWidth="1"/>
    <col min="11275" max="11275" width="15" style="335" customWidth="1"/>
    <col min="11276" max="11276" width="8.7109375" style="335" customWidth="1"/>
    <col min="11277" max="11277" width="13" style="335" customWidth="1"/>
    <col min="11278" max="11278" width="8.7109375" style="335" customWidth="1"/>
    <col min="11279" max="11279" width="8.5703125" style="335" customWidth="1"/>
    <col min="11280" max="11280" width="22.42578125" style="335" customWidth="1"/>
    <col min="11281" max="11512" width="14.42578125" style="335" customWidth="1"/>
    <col min="11513" max="11513" width="5.42578125" style="335" customWidth="1"/>
    <col min="11514" max="11514" width="19.140625" style="335" customWidth="1"/>
    <col min="11515" max="11515" width="2.85546875" style="335" customWidth="1"/>
    <col min="11516" max="11516" width="30.140625" style="335" customWidth="1"/>
    <col min="11517" max="11520" width="29" style="335"/>
    <col min="11521" max="11521" width="5.42578125" style="335" customWidth="1"/>
    <col min="11522" max="11522" width="29.140625" style="335" customWidth="1"/>
    <col min="11523" max="11523" width="24.140625" style="335" customWidth="1"/>
    <col min="11524" max="11524" width="18" style="335" bestFit="1" customWidth="1"/>
    <col min="11525" max="11525" width="31.140625" style="335" customWidth="1"/>
    <col min="11526" max="11526" width="4.7109375" style="335" customWidth="1"/>
    <col min="11527" max="11527" width="9.140625" style="335" customWidth="1"/>
    <col min="11528" max="11528" width="19.140625" style="335" customWidth="1"/>
    <col min="11529" max="11529" width="13.140625" style="335" customWidth="1"/>
    <col min="11530" max="11530" width="14.5703125" style="335" customWidth="1"/>
    <col min="11531" max="11531" width="15" style="335" customWidth="1"/>
    <col min="11532" max="11532" width="8.7109375" style="335" customWidth="1"/>
    <col min="11533" max="11533" width="13" style="335" customWidth="1"/>
    <col min="11534" max="11534" width="8.7109375" style="335" customWidth="1"/>
    <col min="11535" max="11535" width="8.5703125" style="335" customWidth="1"/>
    <col min="11536" max="11536" width="22.42578125" style="335" customWidth="1"/>
    <col min="11537" max="11768" width="14.42578125" style="335" customWidth="1"/>
    <col min="11769" max="11769" width="5.42578125" style="335" customWidth="1"/>
    <col min="11770" max="11770" width="19.140625" style="335" customWidth="1"/>
    <col min="11771" max="11771" width="2.85546875" style="335" customWidth="1"/>
    <col min="11772" max="11772" width="30.140625" style="335" customWidth="1"/>
    <col min="11773" max="11776" width="29" style="335"/>
    <col min="11777" max="11777" width="5.42578125" style="335" customWidth="1"/>
    <col min="11778" max="11778" width="29.140625" style="335" customWidth="1"/>
    <col min="11779" max="11779" width="24.140625" style="335" customWidth="1"/>
    <col min="11780" max="11780" width="18" style="335" bestFit="1" customWidth="1"/>
    <col min="11781" max="11781" width="31.140625" style="335" customWidth="1"/>
    <col min="11782" max="11782" width="4.7109375" style="335" customWidth="1"/>
    <col min="11783" max="11783" width="9.140625" style="335" customWidth="1"/>
    <col min="11784" max="11784" width="19.140625" style="335" customWidth="1"/>
    <col min="11785" max="11785" width="13.140625" style="335" customWidth="1"/>
    <col min="11786" max="11786" width="14.5703125" style="335" customWidth="1"/>
    <col min="11787" max="11787" width="15" style="335" customWidth="1"/>
    <col min="11788" max="11788" width="8.7109375" style="335" customWidth="1"/>
    <col min="11789" max="11789" width="13" style="335" customWidth="1"/>
    <col min="11790" max="11790" width="8.7109375" style="335" customWidth="1"/>
    <col min="11791" max="11791" width="8.5703125" style="335" customWidth="1"/>
    <col min="11792" max="11792" width="22.42578125" style="335" customWidth="1"/>
    <col min="11793" max="12024" width="14.42578125" style="335" customWidth="1"/>
    <col min="12025" max="12025" width="5.42578125" style="335" customWidth="1"/>
    <col min="12026" max="12026" width="19.140625" style="335" customWidth="1"/>
    <col min="12027" max="12027" width="2.85546875" style="335" customWidth="1"/>
    <col min="12028" max="12028" width="30.140625" style="335" customWidth="1"/>
    <col min="12029" max="12032" width="29" style="335"/>
    <col min="12033" max="12033" width="5.42578125" style="335" customWidth="1"/>
    <col min="12034" max="12034" width="29.140625" style="335" customWidth="1"/>
    <col min="12035" max="12035" width="24.140625" style="335" customWidth="1"/>
    <col min="12036" max="12036" width="18" style="335" bestFit="1" customWidth="1"/>
    <col min="12037" max="12037" width="31.140625" style="335" customWidth="1"/>
    <col min="12038" max="12038" width="4.7109375" style="335" customWidth="1"/>
    <col min="12039" max="12039" width="9.140625" style="335" customWidth="1"/>
    <col min="12040" max="12040" width="19.140625" style="335" customWidth="1"/>
    <col min="12041" max="12041" width="13.140625" style="335" customWidth="1"/>
    <col min="12042" max="12042" width="14.5703125" style="335" customWidth="1"/>
    <col min="12043" max="12043" width="15" style="335" customWidth="1"/>
    <col min="12044" max="12044" width="8.7109375" style="335" customWidth="1"/>
    <col min="12045" max="12045" width="13" style="335" customWidth="1"/>
    <col min="12046" max="12046" width="8.7109375" style="335" customWidth="1"/>
    <col min="12047" max="12047" width="8.5703125" style="335" customWidth="1"/>
    <col min="12048" max="12048" width="22.42578125" style="335" customWidth="1"/>
    <col min="12049" max="12280" width="14.42578125" style="335" customWidth="1"/>
    <col min="12281" max="12281" width="5.42578125" style="335" customWidth="1"/>
    <col min="12282" max="12282" width="19.140625" style="335" customWidth="1"/>
    <col min="12283" max="12283" width="2.85546875" style="335" customWidth="1"/>
    <col min="12284" max="12284" width="30.140625" style="335" customWidth="1"/>
    <col min="12285" max="12288" width="29" style="335"/>
    <col min="12289" max="12289" width="5.42578125" style="335" customWidth="1"/>
    <col min="12290" max="12290" width="29.140625" style="335" customWidth="1"/>
    <col min="12291" max="12291" width="24.140625" style="335" customWidth="1"/>
    <col min="12292" max="12292" width="18" style="335" bestFit="1" customWidth="1"/>
    <col min="12293" max="12293" width="31.140625" style="335" customWidth="1"/>
    <col min="12294" max="12294" width="4.7109375" style="335" customWidth="1"/>
    <col min="12295" max="12295" width="9.140625" style="335" customWidth="1"/>
    <col min="12296" max="12296" width="19.140625" style="335" customWidth="1"/>
    <col min="12297" max="12297" width="13.140625" style="335" customWidth="1"/>
    <col min="12298" max="12298" width="14.5703125" style="335" customWidth="1"/>
    <col min="12299" max="12299" width="15" style="335" customWidth="1"/>
    <col min="12300" max="12300" width="8.7109375" style="335" customWidth="1"/>
    <col min="12301" max="12301" width="13" style="335" customWidth="1"/>
    <col min="12302" max="12302" width="8.7109375" style="335" customWidth="1"/>
    <col min="12303" max="12303" width="8.5703125" style="335" customWidth="1"/>
    <col min="12304" max="12304" width="22.42578125" style="335" customWidth="1"/>
    <col min="12305" max="12536" width="14.42578125" style="335" customWidth="1"/>
    <col min="12537" max="12537" width="5.42578125" style="335" customWidth="1"/>
    <col min="12538" max="12538" width="19.140625" style="335" customWidth="1"/>
    <col min="12539" max="12539" width="2.85546875" style="335" customWidth="1"/>
    <col min="12540" max="12540" width="30.140625" style="335" customWidth="1"/>
    <col min="12541" max="12544" width="29" style="335"/>
    <col min="12545" max="12545" width="5.42578125" style="335" customWidth="1"/>
    <col min="12546" max="12546" width="29.140625" style="335" customWidth="1"/>
    <col min="12547" max="12547" width="24.140625" style="335" customWidth="1"/>
    <col min="12548" max="12548" width="18" style="335" bestFit="1" customWidth="1"/>
    <col min="12549" max="12549" width="31.140625" style="335" customWidth="1"/>
    <col min="12550" max="12550" width="4.7109375" style="335" customWidth="1"/>
    <col min="12551" max="12551" width="9.140625" style="335" customWidth="1"/>
    <col min="12552" max="12552" width="19.140625" style="335" customWidth="1"/>
    <col min="12553" max="12553" width="13.140625" style="335" customWidth="1"/>
    <col min="12554" max="12554" width="14.5703125" style="335" customWidth="1"/>
    <col min="12555" max="12555" width="15" style="335" customWidth="1"/>
    <col min="12556" max="12556" width="8.7109375" style="335" customWidth="1"/>
    <col min="12557" max="12557" width="13" style="335" customWidth="1"/>
    <col min="12558" max="12558" width="8.7109375" style="335" customWidth="1"/>
    <col min="12559" max="12559" width="8.5703125" style="335" customWidth="1"/>
    <col min="12560" max="12560" width="22.42578125" style="335" customWidth="1"/>
    <col min="12561" max="12792" width="14.42578125" style="335" customWidth="1"/>
    <col min="12793" max="12793" width="5.42578125" style="335" customWidth="1"/>
    <col min="12794" max="12794" width="19.140625" style="335" customWidth="1"/>
    <col min="12795" max="12795" width="2.85546875" style="335" customWidth="1"/>
    <col min="12796" max="12796" width="30.140625" style="335" customWidth="1"/>
    <col min="12797" max="12800" width="29" style="335"/>
    <col min="12801" max="12801" width="5.42578125" style="335" customWidth="1"/>
    <col min="12802" max="12802" width="29.140625" style="335" customWidth="1"/>
    <col min="12803" max="12803" width="24.140625" style="335" customWidth="1"/>
    <col min="12804" max="12804" width="18" style="335" bestFit="1" customWidth="1"/>
    <col min="12805" max="12805" width="31.140625" style="335" customWidth="1"/>
    <col min="12806" max="12806" width="4.7109375" style="335" customWidth="1"/>
    <col min="12807" max="12807" width="9.140625" style="335" customWidth="1"/>
    <col min="12808" max="12808" width="19.140625" style="335" customWidth="1"/>
    <col min="12809" max="12809" width="13.140625" style="335" customWidth="1"/>
    <col min="12810" max="12810" width="14.5703125" style="335" customWidth="1"/>
    <col min="12811" max="12811" width="15" style="335" customWidth="1"/>
    <col min="12812" max="12812" width="8.7109375" style="335" customWidth="1"/>
    <col min="12813" max="12813" width="13" style="335" customWidth="1"/>
    <col min="12814" max="12814" width="8.7109375" style="335" customWidth="1"/>
    <col min="12815" max="12815" width="8.5703125" style="335" customWidth="1"/>
    <col min="12816" max="12816" width="22.42578125" style="335" customWidth="1"/>
    <col min="12817" max="13048" width="14.42578125" style="335" customWidth="1"/>
    <col min="13049" max="13049" width="5.42578125" style="335" customWidth="1"/>
    <col min="13050" max="13050" width="19.140625" style="335" customWidth="1"/>
    <col min="13051" max="13051" width="2.85546875" style="335" customWidth="1"/>
    <col min="13052" max="13052" width="30.140625" style="335" customWidth="1"/>
    <col min="13053" max="13056" width="29" style="335"/>
    <col min="13057" max="13057" width="5.42578125" style="335" customWidth="1"/>
    <col min="13058" max="13058" width="29.140625" style="335" customWidth="1"/>
    <col min="13059" max="13059" width="24.140625" style="335" customWidth="1"/>
    <col min="13060" max="13060" width="18" style="335" bestFit="1" customWidth="1"/>
    <col min="13061" max="13061" width="31.140625" style="335" customWidth="1"/>
    <col min="13062" max="13062" width="4.7109375" style="335" customWidth="1"/>
    <col min="13063" max="13063" width="9.140625" style="335" customWidth="1"/>
    <col min="13064" max="13064" width="19.140625" style="335" customWidth="1"/>
    <col min="13065" max="13065" width="13.140625" style="335" customWidth="1"/>
    <col min="13066" max="13066" width="14.5703125" style="335" customWidth="1"/>
    <col min="13067" max="13067" width="15" style="335" customWidth="1"/>
    <col min="13068" max="13068" width="8.7109375" style="335" customWidth="1"/>
    <col min="13069" max="13069" width="13" style="335" customWidth="1"/>
    <col min="13070" max="13070" width="8.7109375" style="335" customWidth="1"/>
    <col min="13071" max="13071" width="8.5703125" style="335" customWidth="1"/>
    <col min="13072" max="13072" width="22.42578125" style="335" customWidth="1"/>
    <col min="13073" max="13304" width="14.42578125" style="335" customWidth="1"/>
    <col min="13305" max="13305" width="5.42578125" style="335" customWidth="1"/>
    <col min="13306" max="13306" width="19.140625" style="335" customWidth="1"/>
    <col min="13307" max="13307" width="2.85546875" style="335" customWidth="1"/>
    <col min="13308" max="13308" width="30.140625" style="335" customWidth="1"/>
    <col min="13309" max="13312" width="29" style="335"/>
    <col min="13313" max="13313" width="5.42578125" style="335" customWidth="1"/>
    <col min="13314" max="13314" width="29.140625" style="335" customWidth="1"/>
    <col min="13315" max="13315" width="24.140625" style="335" customWidth="1"/>
    <col min="13316" max="13316" width="18" style="335" bestFit="1" customWidth="1"/>
    <col min="13317" max="13317" width="31.140625" style="335" customWidth="1"/>
    <col min="13318" max="13318" width="4.7109375" style="335" customWidth="1"/>
    <col min="13319" max="13319" width="9.140625" style="335" customWidth="1"/>
    <col min="13320" max="13320" width="19.140625" style="335" customWidth="1"/>
    <col min="13321" max="13321" width="13.140625" style="335" customWidth="1"/>
    <col min="13322" max="13322" width="14.5703125" style="335" customWidth="1"/>
    <col min="13323" max="13323" width="15" style="335" customWidth="1"/>
    <col min="13324" max="13324" width="8.7109375" style="335" customWidth="1"/>
    <col min="13325" max="13325" width="13" style="335" customWidth="1"/>
    <col min="13326" max="13326" width="8.7109375" style="335" customWidth="1"/>
    <col min="13327" max="13327" width="8.5703125" style="335" customWidth="1"/>
    <col min="13328" max="13328" width="22.42578125" style="335" customWidth="1"/>
    <col min="13329" max="13560" width="14.42578125" style="335" customWidth="1"/>
    <col min="13561" max="13561" width="5.42578125" style="335" customWidth="1"/>
    <col min="13562" max="13562" width="19.140625" style="335" customWidth="1"/>
    <col min="13563" max="13563" width="2.85546875" style="335" customWidth="1"/>
    <col min="13564" max="13564" width="30.140625" style="335" customWidth="1"/>
    <col min="13565" max="13568" width="29" style="335"/>
    <col min="13569" max="13569" width="5.42578125" style="335" customWidth="1"/>
    <col min="13570" max="13570" width="29.140625" style="335" customWidth="1"/>
    <col min="13571" max="13571" width="24.140625" style="335" customWidth="1"/>
    <col min="13572" max="13572" width="18" style="335" bestFit="1" customWidth="1"/>
    <col min="13573" max="13573" width="31.140625" style="335" customWidth="1"/>
    <col min="13574" max="13574" width="4.7109375" style="335" customWidth="1"/>
    <col min="13575" max="13575" width="9.140625" style="335" customWidth="1"/>
    <col min="13576" max="13576" width="19.140625" style="335" customWidth="1"/>
    <col min="13577" max="13577" width="13.140625" style="335" customWidth="1"/>
    <col min="13578" max="13578" width="14.5703125" style="335" customWidth="1"/>
    <col min="13579" max="13579" width="15" style="335" customWidth="1"/>
    <col min="13580" max="13580" width="8.7109375" style="335" customWidth="1"/>
    <col min="13581" max="13581" width="13" style="335" customWidth="1"/>
    <col min="13582" max="13582" width="8.7109375" style="335" customWidth="1"/>
    <col min="13583" max="13583" width="8.5703125" style="335" customWidth="1"/>
    <col min="13584" max="13584" width="22.42578125" style="335" customWidth="1"/>
    <col min="13585" max="13816" width="14.42578125" style="335" customWidth="1"/>
    <col min="13817" max="13817" width="5.42578125" style="335" customWidth="1"/>
    <col min="13818" max="13818" width="19.140625" style="335" customWidth="1"/>
    <col min="13819" max="13819" width="2.85546875" style="335" customWidth="1"/>
    <col min="13820" max="13820" width="30.140625" style="335" customWidth="1"/>
    <col min="13821" max="13824" width="29" style="335"/>
    <col min="13825" max="13825" width="5.42578125" style="335" customWidth="1"/>
    <col min="13826" max="13826" width="29.140625" style="335" customWidth="1"/>
    <col min="13827" max="13827" width="24.140625" style="335" customWidth="1"/>
    <col min="13828" max="13828" width="18" style="335" bestFit="1" customWidth="1"/>
    <col min="13829" max="13829" width="31.140625" style="335" customWidth="1"/>
    <col min="13830" max="13830" width="4.7109375" style="335" customWidth="1"/>
    <col min="13831" max="13831" width="9.140625" style="335" customWidth="1"/>
    <col min="13832" max="13832" width="19.140625" style="335" customWidth="1"/>
    <col min="13833" max="13833" width="13.140625" style="335" customWidth="1"/>
    <col min="13834" max="13834" width="14.5703125" style="335" customWidth="1"/>
    <col min="13835" max="13835" width="15" style="335" customWidth="1"/>
    <col min="13836" max="13836" width="8.7109375" style="335" customWidth="1"/>
    <col min="13837" max="13837" width="13" style="335" customWidth="1"/>
    <col min="13838" max="13838" width="8.7109375" style="335" customWidth="1"/>
    <col min="13839" max="13839" width="8.5703125" style="335" customWidth="1"/>
    <col min="13840" max="13840" width="22.42578125" style="335" customWidth="1"/>
    <col min="13841" max="14072" width="14.42578125" style="335" customWidth="1"/>
    <col min="14073" max="14073" width="5.42578125" style="335" customWidth="1"/>
    <col min="14074" max="14074" width="19.140625" style="335" customWidth="1"/>
    <col min="14075" max="14075" width="2.85546875" style="335" customWidth="1"/>
    <col min="14076" max="14076" width="30.140625" style="335" customWidth="1"/>
    <col min="14077" max="14080" width="29" style="335"/>
    <col min="14081" max="14081" width="5.42578125" style="335" customWidth="1"/>
    <col min="14082" max="14082" width="29.140625" style="335" customWidth="1"/>
    <col min="14083" max="14083" width="24.140625" style="335" customWidth="1"/>
    <col min="14084" max="14084" width="18" style="335" bestFit="1" customWidth="1"/>
    <col min="14085" max="14085" width="31.140625" style="335" customWidth="1"/>
    <col min="14086" max="14086" width="4.7109375" style="335" customWidth="1"/>
    <col min="14087" max="14087" width="9.140625" style="335" customWidth="1"/>
    <col min="14088" max="14088" width="19.140625" style="335" customWidth="1"/>
    <col min="14089" max="14089" width="13.140625" style="335" customWidth="1"/>
    <col min="14090" max="14090" width="14.5703125" style="335" customWidth="1"/>
    <col min="14091" max="14091" width="15" style="335" customWidth="1"/>
    <col min="14092" max="14092" width="8.7109375" style="335" customWidth="1"/>
    <col min="14093" max="14093" width="13" style="335" customWidth="1"/>
    <col min="14094" max="14094" width="8.7109375" style="335" customWidth="1"/>
    <col min="14095" max="14095" width="8.5703125" style="335" customWidth="1"/>
    <col min="14096" max="14096" width="22.42578125" style="335" customWidth="1"/>
    <col min="14097" max="14328" width="14.42578125" style="335" customWidth="1"/>
    <col min="14329" max="14329" width="5.42578125" style="335" customWidth="1"/>
    <col min="14330" max="14330" width="19.140625" style="335" customWidth="1"/>
    <col min="14331" max="14331" width="2.85546875" style="335" customWidth="1"/>
    <col min="14332" max="14332" width="30.140625" style="335" customWidth="1"/>
    <col min="14333" max="14336" width="29" style="335"/>
    <col min="14337" max="14337" width="5.42578125" style="335" customWidth="1"/>
    <col min="14338" max="14338" width="29.140625" style="335" customWidth="1"/>
    <col min="14339" max="14339" width="24.140625" style="335" customWidth="1"/>
    <col min="14340" max="14340" width="18" style="335" bestFit="1" customWidth="1"/>
    <col min="14341" max="14341" width="31.140625" style="335" customWidth="1"/>
    <col min="14342" max="14342" width="4.7109375" style="335" customWidth="1"/>
    <col min="14343" max="14343" width="9.140625" style="335" customWidth="1"/>
    <col min="14344" max="14344" width="19.140625" style="335" customWidth="1"/>
    <col min="14345" max="14345" width="13.140625" style="335" customWidth="1"/>
    <col min="14346" max="14346" width="14.5703125" style="335" customWidth="1"/>
    <col min="14347" max="14347" width="15" style="335" customWidth="1"/>
    <col min="14348" max="14348" width="8.7109375" style="335" customWidth="1"/>
    <col min="14349" max="14349" width="13" style="335" customWidth="1"/>
    <col min="14350" max="14350" width="8.7109375" style="335" customWidth="1"/>
    <col min="14351" max="14351" width="8.5703125" style="335" customWidth="1"/>
    <col min="14352" max="14352" width="22.42578125" style="335" customWidth="1"/>
    <col min="14353" max="14584" width="14.42578125" style="335" customWidth="1"/>
    <col min="14585" max="14585" width="5.42578125" style="335" customWidth="1"/>
    <col min="14586" max="14586" width="19.140625" style="335" customWidth="1"/>
    <col min="14587" max="14587" width="2.85546875" style="335" customWidth="1"/>
    <col min="14588" max="14588" width="30.140625" style="335" customWidth="1"/>
    <col min="14589" max="14592" width="29" style="335"/>
    <col min="14593" max="14593" width="5.42578125" style="335" customWidth="1"/>
    <col min="14594" max="14594" width="29.140625" style="335" customWidth="1"/>
    <col min="14595" max="14595" width="24.140625" style="335" customWidth="1"/>
    <col min="14596" max="14596" width="18" style="335" bestFit="1" customWidth="1"/>
    <col min="14597" max="14597" width="31.140625" style="335" customWidth="1"/>
    <col min="14598" max="14598" width="4.7109375" style="335" customWidth="1"/>
    <col min="14599" max="14599" width="9.140625" style="335" customWidth="1"/>
    <col min="14600" max="14600" width="19.140625" style="335" customWidth="1"/>
    <col min="14601" max="14601" width="13.140625" style="335" customWidth="1"/>
    <col min="14602" max="14602" width="14.5703125" style="335" customWidth="1"/>
    <col min="14603" max="14603" width="15" style="335" customWidth="1"/>
    <col min="14604" max="14604" width="8.7109375" style="335" customWidth="1"/>
    <col min="14605" max="14605" width="13" style="335" customWidth="1"/>
    <col min="14606" max="14606" width="8.7109375" style="335" customWidth="1"/>
    <col min="14607" max="14607" width="8.5703125" style="335" customWidth="1"/>
    <col min="14608" max="14608" width="22.42578125" style="335" customWidth="1"/>
    <col min="14609" max="14840" width="14.42578125" style="335" customWidth="1"/>
    <col min="14841" max="14841" width="5.42578125" style="335" customWidth="1"/>
    <col min="14842" max="14842" width="19.140625" style="335" customWidth="1"/>
    <col min="14843" max="14843" width="2.85546875" style="335" customWidth="1"/>
    <col min="14844" max="14844" width="30.140625" style="335" customWidth="1"/>
    <col min="14845" max="14848" width="29" style="335"/>
    <col min="14849" max="14849" width="5.42578125" style="335" customWidth="1"/>
    <col min="14850" max="14850" width="29.140625" style="335" customWidth="1"/>
    <col min="14851" max="14851" width="24.140625" style="335" customWidth="1"/>
    <col min="14852" max="14852" width="18" style="335" bestFit="1" customWidth="1"/>
    <col min="14853" max="14853" width="31.140625" style="335" customWidth="1"/>
    <col min="14854" max="14854" width="4.7109375" style="335" customWidth="1"/>
    <col min="14855" max="14855" width="9.140625" style="335" customWidth="1"/>
    <col min="14856" max="14856" width="19.140625" style="335" customWidth="1"/>
    <col min="14857" max="14857" width="13.140625" style="335" customWidth="1"/>
    <col min="14858" max="14858" width="14.5703125" style="335" customWidth="1"/>
    <col min="14859" max="14859" width="15" style="335" customWidth="1"/>
    <col min="14860" max="14860" width="8.7109375" style="335" customWidth="1"/>
    <col min="14861" max="14861" width="13" style="335" customWidth="1"/>
    <col min="14862" max="14862" width="8.7109375" style="335" customWidth="1"/>
    <col min="14863" max="14863" width="8.5703125" style="335" customWidth="1"/>
    <col min="14864" max="14864" width="22.42578125" style="335" customWidth="1"/>
    <col min="14865" max="15096" width="14.42578125" style="335" customWidth="1"/>
    <col min="15097" max="15097" width="5.42578125" style="335" customWidth="1"/>
    <col min="15098" max="15098" width="19.140625" style="335" customWidth="1"/>
    <col min="15099" max="15099" width="2.85546875" style="335" customWidth="1"/>
    <col min="15100" max="15100" width="30.140625" style="335" customWidth="1"/>
    <col min="15101" max="15104" width="29" style="335"/>
    <col min="15105" max="15105" width="5.42578125" style="335" customWidth="1"/>
    <col min="15106" max="15106" width="29.140625" style="335" customWidth="1"/>
    <col min="15107" max="15107" width="24.140625" style="335" customWidth="1"/>
    <col min="15108" max="15108" width="18" style="335" bestFit="1" customWidth="1"/>
    <col min="15109" max="15109" width="31.140625" style="335" customWidth="1"/>
    <col min="15110" max="15110" width="4.7109375" style="335" customWidth="1"/>
    <col min="15111" max="15111" width="9.140625" style="335" customWidth="1"/>
    <col min="15112" max="15112" width="19.140625" style="335" customWidth="1"/>
    <col min="15113" max="15113" width="13.140625" style="335" customWidth="1"/>
    <col min="15114" max="15114" width="14.5703125" style="335" customWidth="1"/>
    <col min="15115" max="15115" width="15" style="335" customWidth="1"/>
    <col min="15116" max="15116" width="8.7109375" style="335" customWidth="1"/>
    <col min="15117" max="15117" width="13" style="335" customWidth="1"/>
    <col min="15118" max="15118" width="8.7109375" style="335" customWidth="1"/>
    <col min="15119" max="15119" width="8.5703125" style="335" customWidth="1"/>
    <col min="15120" max="15120" width="22.42578125" style="335" customWidth="1"/>
    <col min="15121" max="15352" width="14.42578125" style="335" customWidth="1"/>
    <col min="15353" max="15353" width="5.42578125" style="335" customWidth="1"/>
    <col min="15354" max="15354" width="19.140625" style="335" customWidth="1"/>
    <col min="15355" max="15355" width="2.85546875" style="335" customWidth="1"/>
    <col min="15356" max="15356" width="30.140625" style="335" customWidth="1"/>
    <col min="15357" max="15360" width="29" style="335"/>
    <col min="15361" max="15361" width="5.42578125" style="335" customWidth="1"/>
    <col min="15362" max="15362" width="29.140625" style="335" customWidth="1"/>
    <col min="15363" max="15363" width="24.140625" style="335" customWidth="1"/>
    <col min="15364" max="15364" width="18" style="335" bestFit="1" customWidth="1"/>
    <col min="15365" max="15365" width="31.140625" style="335" customWidth="1"/>
    <col min="15366" max="15366" width="4.7109375" style="335" customWidth="1"/>
    <col min="15367" max="15367" width="9.140625" style="335" customWidth="1"/>
    <col min="15368" max="15368" width="19.140625" style="335" customWidth="1"/>
    <col min="15369" max="15369" width="13.140625" style="335" customWidth="1"/>
    <col min="15370" max="15370" width="14.5703125" style="335" customWidth="1"/>
    <col min="15371" max="15371" width="15" style="335" customWidth="1"/>
    <col min="15372" max="15372" width="8.7109375" style="335" customWidth="1"/>
    <col min="15373" max="15373" width="13" style="335" customWidth="1"/>
    <col min="15374" max="15374" width="8.7109375" style="335" customWidth="1"/>
    <col min="15375" max="15375" width="8.5703125" style="335" customWidth="1"/>
    <col min="15376" max="15376" width="22.42578125" style="335" customWidth="1"/>
    <col min="15377" max="15608" width="14.42578125" style="335" customWidth="1"/>
    <col min="15609" max="15609" width="5.42578125" style="335" customWidth="1"/>
    <col min="15610" max="15610" width="19.140625" style="335" customWidth="1"/>
    <col min="15611" max="15611" width="2.85546875" style="335" customWidth="1"/>
    <col min="15612" max="15612" width="30.140625" style="335" customWidth="1"/>
    <col min="15613" max="15616" width="29" style="335"/>
    <col min="15617" max="15617" width="5.42578125" style="335" customWidth="1"/>
    <col min="15618" max="15618" width="29.140625" style="335" customWidth="1"/>
    <col min="15619" max="15619" width="24.140625" style="335" customWidth="1"/>
    <col min="15620" max="15620" width="18" style="335" bestFit="1" customWidth="1"/>
    <col min="15621" max="15621" width="31.140625" style="335" customWidth="1"/>
    <col min="15622" max="15622" width="4.7109375" style="335" customWidth="1"/>
    <col min="15623" max="15623" width="9.140625" style="335" customWidth="1"/>
    <col min="15624" max="15624" width="19.140625" style="335" customWidth="1"/>
    <col min="15625" max="15625" width="13.140625" style="335" customWidth="1"/>
    <col min="15626" max="15626" width="14.5703125" style="335" customWidth="1"/>
    <col min="15627" max="15627" width="15" style="335" customWidth="1"/>
    <col min="15628" max="15628" width="8.7109375" style="335" customWidth="1"/>
    <col min="15629" max="15629" width="13" style="335" customWidth="1"/>
    <col min="15630" max="15630" width="8.7109375" style="335" customWidth="1"/>
    <col min="15631" max="15631" width="8.5703125" style="335" customWidth="1"/>
    <col min="15632" max="15632" width="22.42578125" style="335" customWidth="1"/>
    <col min="15633" max="15864" width="14.42578125" style="335" customWidth="1"/>
    <col min="15865" max="15865" width="5.42578125" style="335" customWidth="1"/>
    <col min="15866" max="15866" width="19.140625" style="335" customWidth="1"/>
    <col min="15867" max="15867" width="2.85546875" style="335" customWidth="1"/>
    <col min="15868" max="15868" width="30.140625" style="335" customWidth="1"/>
    <col min="15869" max="15872" width="29" style="335"/>
    <col min="15873" max="15873" width="5.42578125" style="335" customWidth="1"/>
    <col min="15874" max="15874" width="29.140625" style="335" customWidth="1"/>
    <col min="15875" max="15875" width="24.140625" style="335" customWidth="1"/>
    <col min="15876" max="15876" width="18" style="335" bestFit="1" customWidth="1"/>
    <col min="15877" max="15877" width="31.140625" style="335" customWidth="1"/>
    <col min="15878" max="15878" width="4.7109375" style="335" customWidth="1"/>
    <col min="15879" max="15879" width="9.140625" style="335" customWidth="1"/>
    <col min="15880" max="15880" width="19.140625" style="335" customWidth="1"/>
    <col min="15881" max="15881" width="13.140625" style="335" customWidth="1"/>
    <col min="15882" max="15882" width="14.5703125" style="335" customWidth="1"/>
    <col min="15883" max="15883" width="15" style="335" customWidth="1"/>
    <col min="15884" max="15884" width="8.7109375" style="335" customWidth="1"/>
    <col min="15885" max="15885" width="13" style="335" customWidth="1"/>
    <col min="15886" max="15886" width="8.7109375" style="335" customWidth="1"/>
    <col min="15887" max="15887" width="8.5703125" style="335" customWidth="1"/>
    <col min="15888" max="15888" width="22.42578125" style="335" customWidth="1"/>
    <col min="15889" max="16120" width="14.42578125" style="335" customWidth="1"/>
    <col min="16121" max="16121" width="5.42578125" style="335" customWidth="1"/>
    <col min="16122" max="16122" width="19.140625" style="335" customWidth="1"/>
    <col min="16123" max="16123" width="2.85546875" style="335" customWidth="1"/>
    <col min="16124" max="16124" width="30.140625" style="335" customWidth="1"/>
    <col min="16125" max="16128" width="29" style="335"/>
    <col min="16129" max="16129" width="5.42578125" style="335" customWidth="1"/>
    <col min="16130" max="16130" width="29.140625" style="335" customWidth="1"/>
    <col min="16131" max="16131" width="24.140625" style="335" customWidth="1"/>
    <col min="16132" max="16132" width="18" style="335" bestFit="1" customWidth="1"/>
    <col min="16133" max="16133" width="31.140625" style="335" customWidth="1"/>
    <col min="16134" max="16134" width="4.7109375" style="335" customWidth="1"/>
    <col min="16135" max="16135" width="9.140625" style="335" customWidth="1"/>
    <col min="16136" max="16136" width="19.140625" style="335" customWidth="1"/>
    <col min="16137" max="16137" width="13.140625" style="335" customWidth="1"/>
    <col min="16138" max="16138" width="14.5703125" style="335" customWidth="1"/>
    <col min="16139" max="16139" width="15" style="335" customWidth="1"/>
    <col min="16140" max="16140" width="8.7109375" style="335" customWidth="1"/>
    <col min="16141" max="16141" width="13" style="335" customWidth="1"/>
    <col min="16142" max="16142" width="8.7109375" style="335" customWidth="1"/>
    <col min="16143" max="16143" width="8.5703125" style="335" customWidth="1"/>
    <col min="16144" max="16144" width="22.42578125" style="335" customWidth="1"/>
    <col min="16145" max="16376" width="14.42578125" style="335" customWidth="1"/>
    <col min="16377" max="16377" width="5.42578125" style="335" customWidth="1"/>
    <col min="16378" max="16378" width="19.140625" style="335" customWidth="1"/>
    <col min="16379" max="16379" width="2.85546875" style="335" customWidth="1"/>
    <col min="16380" max="16380" width="30.140625" style="335" customWidth="1"/>
    <col min="16381" max="16384" width="29" style="335"/>
  </cols>
  <sheetData>
    <row r="1" spans="1:253" ht="23.25" customHeight="1" x14ac:dyDescent="0.2">
      <c r="A1" s="1411" t="s">
        <v>381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</row>
    <row r="2" spans="1:253" x14ac:dyDescent="0.2">
      <c r="A2" s="532"/>
      <c r="B2" s="532"/>
      <c r="C2" s="532"/>
      <c r="D2" s="532"/>
      <c r="E2" s="533"/>
      <c r="F2" s="533"/>
      <c r="G2" s="534"/>
      <c r="H2" s="532"/>
      <c r="I2" s="532"/>
      <c r="J2" s="532"/>
      <c r="K2" s="532"/>
      <c r="L2" s="532"/>
      <c r="M2" s="532"/>
    </row>
    <row r="3" spans="1:253" ht="15" x14ac:dyDescent="0.25">
      <c r="A3" s="550"/>
      <c r="B3" s="550" t="s">
        <v>348</v>
      </c>
      <c r="C3" s="536" t="str">
        <f>'DATA SKP2'!F3</f>
        <v>MTs Negeri 5 Sleman</v>
      </c>
      <c r="D3" s="536"/>
      <c r="E3" s="537"/>
      <c r="F3" s="537"/>
      <c r="G3" s="532" t="s">
        <v>349</v>
      </c>
      <c r="H3" s="532"/>
      <c r="I3" s="532"/>
      <c r="J3" s="532"/>
      <c r="K3" s="532"/>
      <c r="L3" s="532"/>
      <c r="M3" s="532"/>
    </row>
    <row r="4" spans="1:253" ht="15" x14ac:dyDescent="0.25">
      <c r="A4" s="551"/>
      <c r="B4" s="532"/>
      <c r="C4" s="532"/>
      <c r="D4" s="532"/>
      <c r="E4" s="537"/>
      <c r="F4" s="537"/>
      <c r="G4" s="552" t="str">
        <f>PERIODE!E12</f>
        <v>01 Juli s.d. 31 Desember 2021</v>
      </c>
      <c r="H4" s="532"/>
      <c r="I4" s="532"/>
      <c r="J4" s="532"/>
      <c r="K4" s="532"/>
      <c r="L4" s="532"/>
      <c r="M4" s="532"/>
    </row>
    <row r="5" spans="1:253" ht="15" x14ac:dyDescent="0.2">
      <c r="A5" s="551"/>
      <c r="B5" s="551"/>
      <c r="C5" s="532"/>
      <c r="D5" s="1412"/>
      <c r="E5" s="1413"/>
      <c r="F5" s="1413"/>
      <c r="G5" s="1413"/>
      <c r="H5" s="532"/>
      <c r="I5" s="532"/>
      <c r="J5" s="532"/>
      <c r="K5" s="532"/>
      <c r="L5" s="532"/>
      <c r="M5" s="532"/>
    </row>
    <row r="6" spans="1:253" ht="19.5" customHeight="1" x14ac:dyDescent="0.25">
      <c r="A6" s="1414" t="s">
        <v>85</v>
      </c>
      <c r="B6" s="1414"/>
      <c r="C6" s="1414"/>
      <c r="D6" s="1414"/>
      <c r="E6" s="1414"/>
      <c r="F6" s="1415" t="s">
        <v>86</v>
      </c>
      <c r="G6" s="1415"/>
      <c r="H6" s="1415"/>
      <c r="I6" s="1415"/>
      <c r="J6" s="1415"/>
      <c r="K6" s="1415"/>
      <c r="L6" s="1415"/>
      <c r="M6" s="1415"/>
    </row>
    <row r="7" spans="1:253" ht="17.25" customHeight="1" x14ac:dyDescent="0.2">
      <c r="A7" s="1416" t="s">
        <v>2</v>
      </c>
      <c r="B7" s="1417"/>
      <c r="C7" s="553" t="str">
        <f>'DATA SKP2'!F6</f>
        <v>Sirajudin, S.Pd</v>
      </c>
      <c r="D7" s="554"/>
      <c r="E7" s="555"/>
      <c r="F7" s="556" t="s">
        <v>2</v>
      </c>
      <c r="G7" s="557"/>
      <c r="H7" s="558"/>
      <c r="I7" s="559" t="str">
        <f>'DATA SKP2'!F12</f>
        <v>Drs. Busyroni Majid, M.Si</v>
      </c>
      <c r="J7" s="554"/>
      <c r="K7" s="554"/>
      <c r="L7" s="554"/>
      <c r="M7" s="560"/>
    </row>
    <row r="8" spans="1:253" ht="17.25" customHeight="1" x14ac:dyDescent="0.2">
      <c r="A8" s="1407" t="s">
        <v>3</v>
      </c>
      <c r="B8" s="1408"/>
      <c r="C8" s="553" t="str">
        <f>'DATA SKP2'!F7</f>
        <v>19730115 200710 1 001</v>
      </c>
      <c r="D8" s="554"/>
      <c r="E8" s="555"/>
      <c r="F8" s="561" t="s">
        <v>3</v>
      </c>
      <c r="G8" s="562"/>
      <c r="H8" s="563"/>
      <c r="I8" s="559" t="str">
        <f>'DATA SKP2'!F13</f>
        <v>19690921 199503 1 001</v>
      </c>
      <c r="J8" s="554"/>
      <c r="K8" s="554"/>
      <c r="L8" s="554"/>
      <c r="M8" s="560"/>
    </row>
    <row r="9" spans="1:253" ht="17.25" customHeight="1" x14ac:dyDescent="0.2">
      <c r="A9" s="1407" t="s">
        <v>106</v>
      </c>
      <c r="B9" s="1408"/>
      <c r="C9" s="553" t="str">
        <f>'DATA SKP2'!F8</f>
        <v>Penata Muda, Gol. III/a</v>
      </c>
      <c r="D9" s="554"/>
      <c r="E9" s="555"/>
      <c r="F9" s="561" t="s">
        <v>106</v>
      </c>
      <c r="G9" s="562"/>
      <c r="H9" s="563"/>
      <c r="I9" s="559" t="str">
        <f>'DATA SKP2'!F14</f>
        <v>Pembina, Gol. IV/a</v>
      </c>
      <c r="J9" s="554"/>
      <c r="K9" s="554"/>
      <c r="L9" s="554"/>
      <c r="M9" s="560"/>
    </row>
    <row r="10" spans="1:253" ht="17.25" customHeight="1" x14ac:dyDescent="0.2">
      <c r="A10" s="1407" t="s">
        <v>4</v>
      </c>
      <c r="B10" s="1408"/>
      <c r="C10" s="553" t="str">
        <f>'DATA SKP2'!F9</f>
        <v>Guru Pertama</v>
      </c>
      <c r="D10" s="564"/>
      <c r="E10" s="565"/>
      <c r="F10" s="566" t="s">
        <v>4</v>
      </c>
      <c r="G10" s="562"/>
      <c r="H10" s="567"/>
      <c r="I10" s="559" t="str">
        <f>'DATA SKP2'!F15</f>
        <v>Guru Madya</v>
      </c>
      <c r="J10" s="554"/>
      <c r="K10" s="564"/>
      <c r="L10" s="564"/>
      <c r="M10" s="565"/>
      <c r="N10" s="424"/>
      <c r="O10" s="426"/>
      <c r="P10" s="424"/>
      <c r="Q10" s="424"/>
      <c r="R10" s="424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4"/>
      <c r="AY10" s="424"/>
      <c r="AZ10" s="424"/>
      <c r="BA10" s="424"/>
      <c r="BB10" s="424"/>
      <c r="BC10" s="424"/>
      <c r="BD10" s="424"/>
      <c r="BE10" s="424"/>
      <c r="BF10" s="424"/>
      <c r="BG10" s="424"/>
      <c r="BH10" s="424"/>
      <c r="BI10" s="424"/>
      <c r="BJ10" s="424"/>
      <c r="BK10" s="424"/>
      <c r="BL10" s="424"/>
      <c r="BM10" s="424"/>
      <c r="BN10" s="424"/>
      <c r="BO10" s="424"/>
      <c r="BP10" s="424"/>
      <c r="BQ10" s="424"/>
      <c r="BR10" s="424"/>
      <c r="BS10" s="424"/>
      <c r="BT10" s="424"/>
      <c r="BU10" s="424"/>
      <c r="BV10" s="424"/>
      <c r="BW10" s="424"/>
      <c r="BX10" s="424"/>
      <c r="BY10" s="424"/>
      <c r="BZ10" s="424"/>
      <c r="CA10" s="424"/>
      <c r="CB10" s="424"/>
      <c r="CC10" s="424"/>
      <c r="CD10" s="424"/>
      <c r="CE10" s="424"/>
      <c r="CF10" s="424"/>
      <c r="CG10" s="424"/>
      <c r="CH10" s="424"/>
      <c r="CI10" s="424"/>
      <c r="CJ10" s="424"/>
      <c r="CK10" s="424"/>
      <c r="CL10" s="424"/>
      <c r="CM10" s="424"/>
      <c r="CN10" s="424"/>
      <c r="CO10" s="424"/>
      <c r="CP10" s="424"/>
      <c r="CQ10" s="424"/>
      <c r="CR10" s="424"/>
      <c r="CS10" s="424"/>
      <c r="CT10" s="424"/>
      <c r="CU10" s="424"/>
      <c r="CV10" s="424"/>
      <c r="CW10" s="424"/>
      <c r="CX10" s="424"/>
      <c r="CY10" s="424"/>
      <c r="CZ10" s="424"/>
      <c r="DA10" s="424"/>
      <c r="DB10" s="424"/>
      <c r="DC10" s="424"/>
      <c r="DD10" s="424"/>
      <c r="DE10" s="424"/>
      <c r="DF10" s="424"/>
      <c r="DG10" s="424"/>
      <c r="DH10" s="424"/>
      <c r="DI10" s="424"/>
      <c r="DJ10" s="424"/>
      <c r="DK10" s="424"/>
      <c r="DL10" s="424"/>
      <c r="DM10" s="424"/>
      <c r="DN10" s="424"/>
      <c r="DO10" s="424"/>
      <c r="DP10" s="424"/>
      <c r="DQ10" s="424"/>
      <c r="DR10" s="424"/>
      <c r="DS10" s="424"/>
      <c r="DT10" s="424"/>
      <c r="DU10" s="424"/>
      <c r="DV10" s="424"/>
      <c r="DW10" s="424"/>
      <c r="DX10" s="424"/>
      <c r="DY10" s="424"/>
      <c r="DZ10" s="424"/>
      <c r="EA10" s="424"/>
      <c r="EB10" s="424"/>
      <c r="EC10" s="424"/>
      <c r="ED10" s="424"/>
      <c r="EE10" s="424"/>
      <c r="EF10" s="424"/>
      <c r="EG10" s="424"/>
      <c r="EH10" s="424"/>
      <c r="EI10" s="424"/>
      <c r="EJ10" s="424"/>
      <c r="EK10" s="424"/>
      <c r="EL10" s="424"/>
      <c r="EM10" s="424"/>
      <c r="EN10" s="424"/>
      <c r="EO10" s="424"/>
      <c r="EP10" s="424"/>
      <c r="EQ10" s="424"/>
      <c r="ER10" s="424"/>
      <c r="ES10" s="424"/>
      <c r="ET10" s="424"/>
      <c r="EU10" s="424"/>
      <c r="EV10" s="424"/>
      <c r="EW10" s="424"/>
      <c r="EX10" s="424"/>
      <c r="EY10" s="424"/>
      <c r="EZ10" s="424"/>
      <c r="FA10" s="424"/>
      <c r="FB10" s="424"/>
      <c r="FC10" s="424"/>
      <c r="FD10" s="424"/>
      <c r="FE10" s="424"/>
      <c r="FF10" s="424"/>
      <c r="FG10" s="424"/>
      <c r="FH10" s="424"/>
      <c r="FI10" s="424"/>
      <c r="FJ10" s="424"/>
      <c r="FK10" s="424"/>
      <c r="FL10" s="424"/>
      <c r="FM10" s="424"/>
      <c r="FN10" s="424"/>
      <c r="FO10" s="424"/>
      <c r="FP10" s="424"/>
      <c r="FQ10" s="424"/>
      <c r="FR10" s="424"/>
      <c r="FS10" s="424"/>
      <c r="FT10" s="424"/>
      <c r="FU10" s="424"/>
      <c r="FV10" s="424"/>
      <c r="FW10" s="424"/>
      <c r="FX10" s="424"/>
      <c r="FY10" s="424"/>
      <c r="FZ10" s="424"/>
      <c r="GA10" s="424"/>
      <c r="GB10" s="424"/>
      <c r="GC10" s="424"/>
      <c r="GD10" s="424"/>
      <c r="GE10" s="424"/>
      <c r="GF10" s="424"/>
      <c r="GG10" s="424"/>
      <c r="GH10" s="424"/>
      <c r="GI10" s="424"/>
      <c r="GJ10" s="424"/>
      <c r="GK10" s="424"/>
      <c r="GL10" s="424"/>
      <c r="GM10" s="424"/>
      <c r="GN10" s="424"/>
      <c r="GO10" s="424"/>
      <c r="GP10" s="424"/>
      <c r="GQ10" s="424"/>
      <c r="GR10" s="424"/>
      <c r="GS10" s="424"/>
      <c r="GT10" s="424"/>
      <c r="GU10" s="424"/>
      <c r="GV10" s="424"/>
      <c r="GW10" s="424"/>
      <c r="GX10" s="424"/>
      <c r="GY10" s="424"/>
      <c r="GZ10" s="424"/>
      <c r="HA10" s="424"/>
      <c r="HB10" s="424"/>
      <c r="HC10" s="424"/>
      <c r="HD10" s="424"/>
      <c r="HE10" s="424"/>
      <c r="HF10" s="424"/>
      <c r="HG10" s="424"/>
      <c r="HH10" s="424"/>
      <c r="HI10" s="424"/>
      <c r="HJ10" s="424"/>
      <c r="HK10" s="424"/>
      <c r="HL10" s="424"/>
      <c r="HM10" s="424"/>
      <c r="HN10" s="424"/>
      <c r="HO10" s="424"/>
      <c r="HP10" s="424"/>
      <c r="HQ10" s="424"/>
      <c r="HR10" s="424"/>
      <c r="HS10" s="424"/>
      <c r="HT10" s="424"/>
      <c r="HU10" s="424"/>
      <c r="HV10" s="424"/>
      <c r="HW10" s="424"/>
      <c r="HX10" s="424"/>
      <c r="HY10" s="424"/>
      <c r="HZ10" s="424"/>
      <c r="IA10" s="424"/>
      <c r="IB10" s="424"/>
      <c r="IC10" s="424"/>
      <c r="ID10" s="424"/>
      <c r="IE10" s="424"/>
      <c r="IF10" s="424"/>
      <c r="IG10" s="424"/>
      <c r="IH10" s="424"/>
      <c r="II10" s="424"/>
      <c r="IJ10" s="424"/>
      <c r="IK10" s="424"/>
      <c r="IL10" s="424"/>
      <c r="IM10" s="424"/>
      <c r="IN10" s="424"/>
      <c r="IO10" s="424"/>
      <c r="IP10" s="424"/>
      <c r="IQ10" s="424"/>
      <c r="IR10" s="424"/>
      <c r="IS10" s="424"/>
    </row>
    <row r="11" spans="1:253" ht="24" customHeight="1" x14ac:dyDescent="0.2">
      <c r="A11" s="1419" t="s">
        <v>5</v>
      </c>
      <c r="B11" s="1420"/>
      <c r="C11" s="553" t="str">
        <f>'DATA SKP2'!F10</f>
        <v>MTs Negeri 5 Sleman</v>
      </c>
      <c r="D11" s="568"/>
      <c r="E11" s="569"/>
      <c r="F11" s="566" t="s">
        <v>5</v>
      </c>
      <c r="G11" s="562"/>
      <c r="H11" s="567"/>
      <c r="I11" s="559" t="str">
        <f>'DATA SKP2'!F16</f>
        <v>MTs Negeri 5 Sleman</v>
      </c>
      <c r="J11" s="554"/>
      <c r="K11" s="564"/>
      <c r="L11" s="564"/>
      <c r="M11" s="565"/>
      <c r="N11" s="424"/>
      <c r="O11" s="426"/>
      <c r="P11" s="424"/>
      <c r="Q11" s="424"/>
      <c r="R11" s="424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24"/>
      <c r="AX11" s="424"/>
      <c r="AY11" s="424"/>
      <c r="AZ11" s="424"/>
      <c r="BA11" s="424"/>
      <c r="BB11" s="424"/>
      <c r="BC11" s="424"/>
      <c r="BD11" s="424"/>
      <c r="BE11" s="424"/>
      <c r="BF11" s="424"/>
      <c r="BG11" s="424"/>
      <c r="BH11" s="424"/>
      <c r="BI11" s="424"/>
      <c r="BJ11" s="424"/>
      <c r="BK11" s="424"/>
      <c r="BL11" s="424"/>
      <c r="BM11" s="424"/>
      <c r="BN11" s="424"/>
      <c r="BO11" s="424"/>
      <c r="BP11" s="424"/>
      <c r="BQ11" s="424"/>
      <c r="BR11" s="424"/>
      <c r="BS11" s="424"/>
      <c r="BT11" s="424"/>
      <c r="BU11" s="424"/>
      <c r="BV11" s="424"/>
      <c r="BW11" s="424"/>
      <c r="BX11" s="424"/>
      <c r="BY11" s="424"/>
      <c r="BZ11" s="424"/>
      <c r="CA11" s="424"/>
      <c r="CB11" s="424"/>
      <c r="CC11" s="424"/>
      <c r="CD11" s="424"/>
      <c r="CE11" s="424"/>
      <c r="CF11" s="424"/>
      <c r="CG11" s="424"/>
      <c r="CH11" s="424"/>
      <c r="CI11" s="424"/>
      <c r="CJ11" s="424"/>
      <c r="CK11" s="424"/>
      <c r="CL11" s="424"/>
      <c r="CM11" s="424"/>
      <c r="CN11" s="424"/>
      <c r="CO11" s="424"/>
      <c r="CP11" s="424"/>
      <c r="CQ11" s="424"/>
      <c r="CR11" s="424"/>
      <c r="CS11" s="424"/>
      <c r="CT11" s="424"/>
      <c r="CU11" s="424"/>
      <c r="CV11" s="424"/>
      <c r="CW11" s="424"/>
      <c r="CX11" s="424"/>
      <c r="CY11" s="424"/>
      <c r="CZ11" s="424"/>
      <c r="DA11" s="424"/>
      <c r="DB11" s="424"/>
      <c r="DC11" s="424"/>
      <c r="DD11" s="424"/>
      <c r="DE11" s="424"/>
      <c r="DF11" s="424"/>
      <c r="DG11" s="424"/>
      <c r="DH11" s="424"/>
      <c r="DI11" s="424"/>
      <c r="DJ11" s="424"/>
      <c r="DK11" s="424"/>
      <c r="DL11" s="424"/>
      <c r="DM11" s="424"/>
      <c r="DN11" s="424"/>
      <c r="DO11" s="424"/>
      <c r="DP11" s="424"/>
      <c r="DQ11" s="424"/>
      <c r="DR11" s="424"/>
      <c r="DS11" s="424"/>
      <c r="DT11" s="424"/>
      <c r="DU11" s="424"/>
      <c r="DV11" s="424"/>
      <c r="DW11" s="424"/>
      <c r="DX11" s="424"/>
      <c r="DY11" s="424"/>
      <c r="DZ11" s="424"/>
      <c r="EA11" s="424"/>
      <c r="EB11" s="424"/>
      <c r="EC11" s="424"/>
      <c r="ED11" s="424"/>
      <c r="EE11" s="424"/>
      <c r="EF11" s="424"/>
      <c r="EG11" s="424"/>
      <c r="EH11" s="424"/>
      <c r="EI11" s="424"/>
      <c r="EJ11" s="424"/>
      <c r="EK11" s="424"/>
      <c r="EL11" s="424"/>
      <c r="EM11" s="424"/>
      <c r="EN11" s="424"/>
      <c r="EO11" s="424"/>
      <c r="EP11" s="424"/>
      <c r="EQ11" s="424"/>
      <c r="ER11" s="424"/>
      <c r="ES11" s="424"/>
      <c r="ET11" s="424"/>
      <c r="EU11" s="424"/>
      <c r="EV11" s="424"/>
      <c r="EW11" s="424"/>
      <c r="EX11" s="424"/>
      <c r="EY11" s="424"/>
      <c r="EZ11" s="424"/>
      <c r="FA11" s="424"/>
      <c r="FB11" s="424"/>
      <c r="FC11" s="424"/>
      <c r="FD11" s="424"/>
      <c r="FE11" s="424"/>
      <c r="FF11" s="424"/>
      <c r="FG11" s="424"/>
      <c r="FH11" s="424"/>
      <c r="FI11" s="424"/>
      <c r="FJ11" s="424"/>
      <c r="FK11" s="424"/>
      <c r="FL11" s="424"/>
      <c r="FM11" s="424"/>
      <c r="FN11" s="424"/>
      <c r="FO11" s="424"/>
      <c r="FP11" s="424"/>
      <c r="FQ11" s="424"/>
      <c r="FR11" s="424"/>
      <c r="FS11" s="424"/>
      <c r="FT11" s="424"/>
      <c r="FU11" s="424"/>
      <c r="FV11" s="424"/>
      <c r="FW11" s="424"/>
      <c r="FX11" s="424"/>
      <c r="FY11" s="424"/>
      <c r="FZ11" s="424"/>
      <c r="GA11" s="424"/>
      <c r="GB11" s="424"/>
      <c r="GC11" s="424"/>
      <c r="GD11" s="424"/>
      <c r="GE11" s="424"/>
      <c r="GF11" s="424"/>
      <c r="GG11" s="424"/>
      <c r="GH11" s="424"/>
      <c r="GI11" s="424"/>
      <c r="GJ11" s="424"/>
      <c r="GK11" s="424"/>
      <c r="GL11" s="424"/>
      <c r="GM11" s="424"/>
      <c r="GN11" s="424"/>
      <c r="GO11" s="424"/>
      <c r="GP11" s="424"/>
      <c r="GQ11" s="424"/>
      <c r="GR11" s="424"/>
      <c r="GS11" s="424"/>
      <c r="GT11" s="424"/>
      <c r="GU11" s="424"/>
      <c r="GV11" s="424"/>
      <c r="GW11" s="424"/>
      <c r="GX11" s="424"/>
      <c r="GY11" s="424"/>
      <c r="GZ11" s="424"/>
      <c r="HA11" s="424"/>
      <c r="HB11" s="424"/>
      <c r="HC11" s="424"/>
      <c r="HD11" s="424"/>
      <c r="HE11" s="424"/>
      <c r="HF11" s="424"/>
      <c r="HG11" s="424"/>
      <c r="HH11" s="424"/>
      <c r="HI11" s="424"/>
      <c r="HJ11" s="424"/>
      <c r="HK11" s="424"/>
      <c r="HL11" s="424"/>
      <c r="HM11" s="424"/>
      <c r="HN11" s="424"/>
      <c r="HO11" s="424"/>
      <c r="HP11" s="424"/>
      <c r="HQ11" s="424"/>
      <c r="HR11" s="424"/>
      <c r="HS11" s="424"/>
      <c r="HT11" s="424"/>
      <c r="HU11" s="424"/>
      <c r="HV11" s="424"/>
      <c r="HW11" s="424"/>
      <c r="HX11" s="424"/>
      <c r="HY11" s="424"/>
      <c r="HZ11" s="424"/>
      <c r="IA11" s="424"/>
      <c r="IB11" s="424"/>
      <c r="IC11" s="424"/>
      <c r="ID11" s="424"/>
      <c r="IE11" s="424"/>
      <c r="IF11" s="424"/>
      <c r="IG11" s="424"/>
      <c r="IH11" s="424"/>
      <c r="II11" s="424"/>
      <c r="IJ11" s="424"/>
      <c r="IK11" s="424"/>
      <c r="IL11" s="424"/>
      <c r="IM11" s="424"/>
      <c r="IN11" s="424"/>
      <c r="IO11" s="424"/>
      <c r="IP11" s="424"/>
      <c r="IQ11" s="424"/>
      <c r="IR11" s="424"/>
      <c r="IS11" s="424"/>
    </row>
    <row r="12" spans="1:253" ht="15" x14ac:dyDescent="0.2">
      <c r="A12" s="1415" t="s">
        <v>1</v>
      </c>
      <c r="B12" s="1418" t="s">
        <v>350</v>
      </c>
      <c r="C12" s="1415" t="s">
        <v>351</v>
      </c>
      <c r="D12" s="1409" t="s">
        <v>352</v>
      </c>
      <c r="E12" s="1418" t="s">
        <v>353</v>
      </c>
      <c r="F12" s="1421" t="s">
        <v>7</v>
      </c>
      <c r="G12" s="1422"/>
      <c r="H12" s="1425" t="s">
        <v>10</v>
      </c>
      <c r="I12" s="1427" t="s">
        <v>382</v>
      </c>
      <c r="J12" s="1427" t="s">
        <v>383</v>
      </c>
      <c r="K12" s="1418" t="s">
        <v>384</v>
      </c>
      <c r="L12" s="1418"/>
      <c r="M12" s="1418"/>
      <c r="N12" s="424"/>
      <c r="O12" s="426"/>
      <c r="P12" s="424"/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4"/>
      <c r="BF12" s="424"/>
      <c r="BG12" s="424"/>
      <c r="BH12" s="424"/>
      <c r="BI12" s="424"/>
      <c r="BJ12" s="424"/>
      <c r="BK12" s="424"/>
      <c r="BL12" s="424"/>
      <c r="BM12" s="424"/>
      <c r="BN12" s="424"/>
      <c r="BO12" s="424"/>
      <c r="BP12" s="424"/>
      <c r="BQ12" s="424"/>
      <c r="BR12" s="424"/>
      <c r="BS12" s="424"/>
      <c r="BT12" s="424"/>
      <c r="BU12" s="424"/>
      <c r="BV12" s="424"/>
      <c r="BW12" s="424"/>
      <c r="BX12" s="424"/>
      <c r="BY12" s="424"/>
      <c r="BZ12" s="424"/>
      <c r="CA12" s="424"/>
      <c r="CB12" s="424"/>
      <c r="CC12" s="424"/>
      <c r="CD12" s="424"/>
      <c r="CE12" s="424"/>
      <c r="CF12" s="424"/>
      <c r="CG12" s="424"/>
      <c r="CH12" s="424"/>
      <c r="CI12" s="424"/>
      <c r="CJ12" s="424"/>
      <c r="CK12" s="424"/>
      <c r="CL12" s="424"/>
      <c r="CM12" s="424"/>
      <c r="CN12" s="424"/>
      <c r="CO12" s="424"/>
      <c r="CP12" s="424"/>
      <c r="CQ12" s="424"/>
      <c r="CR12" s="424"/>
      <c r="CS12" s="424"/>
      <c r="CT12" s="424"/>
      <c r="CU12" s="424"/>
      <c r="CV12" s="424"/>
      <c r="CW12" s="424"/>
      <c r="CX12" s="424"/>
      <c r="CY12" s="424"/>
      <c r="CZ12" s="424"/>
      <c r="DA12" s="424"/>
      <c r="DB12" s="424"/>
      <c r="DC12" s="424"/>
      <c r="DD12" s="424"/>
      <c r="DE12" s="424"/>
      <c r="DF12" s="424"/>
      <c r="DG12" s="424"/>
      <c r="DH12" s="424"/>
      <c r="DI12" s="424"/>
      <c r="DJ12" s="424"/>
      <c r="DK12" s="424"/>
      <c r="DL12" s="424"/>
      <c r="DM12" s="424"/>
      <c r="DN12" s="424"/>
      <c r="DO12" s="424"/>
      <c r="DP12" s="424"/>
      <c r="DQ12" s="424"/>
      <c r="DR12" s="424"/>
      <c r="DS12" s="424"/>
      <c r="DT12" s="424"/>
      <c r="DU12" s="424"/>
      <c r="DV12" s="424"/>
      <c r="DW12" s="424"/>
      <c r="DX12" s="424"/>
      <c r="DY12" s="424"/>
      <c r="DZ12" s="424"/>
      <c r="EA12" s="424"/>
      <c r="EB12" s="424"/>
      <c r="EC12" s="424"/>
      <c r="ED12" s="424"/>
      <c r="EE12" s="424"/>
      <c r="EF12" s="424"/>
      <c r="EG12" s="424"/>
      <c r="EH12" s="424"/>
      <c r="EI12" s="424"/>
      <c r="EJ12" s="424"/>
      <c r="EK12" s="424"/>
      <c r="EL12" s="424"/>
      <c r="EM12" s="424"/>
      <c r="EN12" s="424"/>
      <c r="EO12" s="424"/>
      <c r="EP12" s="424"/>
      <c r="EQ12" s="424"/>
      <c r="ER12" s="424"/>
      <c r="ES12" s="424"/>
      <c r="ET12" s="424"/>
      <c r="EU12" s="424"/>
      <c r="EV12" s="424"/>
      <c r="EW12" s="424"/>
      <c r="EX12" s="424"/>
      <c r="EY12" s="424"/>
      <c r="EZ12" s="424"/>
      <c r="FA12" s="424"/>
      <c r="FB12" s="424"/>
      <c r="FC12" s="424"/>
      <c r="FD12" s="424"/>
      <c r="FE12" s="424"/>
      <c r="FF12" s="424"/>
      <c r="FG12" s="424"/>
      <c r="FH12" s="424"/>
      <c r="FI12" s="424"/>
      <c r="FJ12" s="424"/>
      <c r="FK12" s="424"/>
      <c r="FL12" s="424"/>
      <c r="FM12" s="424"/>
      <c r="FN12" s="424"/>
      <c r="FO12" s="424"/>
      <c r="FP12" s="424"/>
      <c r="FQ12" s="424"/>
      <c r="FR12" s="424"/>
      <c r="FS12" s="424"/>
      <c r="FT12" s="424"/>
      <c r="FU12" s="424"/>
      <c r="FV12" s="424"/>
      <c r="FW12" s="424"/>
      <c r="FX12" s="424"/>
      <c r="FY12" s="424"/>
      <c r="FZ12" s="424"/>
      <c r="GA12" s="424"/>
      <c r="GB12" s="424"/>
      <c r="GC12" s="424"/>
      <c r="GD12" s="424"/>
      <c r="GE12" s="424"/>
      <c r="GF12" s="424"/>
      <c r="GG12" s="424"/>
      <c r="GH12" s="424"/>
      <c r="GI12" s="424"/>
      <c r="GJ12" s="424"/>
      <c r="GK12" s="424"/>
      <c r="GL12" s="424"/>
      <c r="GM12" s="424"/>
      <c r="GN12" s="424"/>
      <c r="GO12" s="424"/>
      <c r="GP12" s="424"/>
      <c r="GQ12" s="424"/>
      <c r="GR12" s="424"/>
      <c r="GS12" s="424"/>
      <c r="GT12" s="424"/>
      <c r="GU12" s="424"/>
      <c r="GV12" s="424"/>
      <c r="GW12" s="424"/>
      <c r="GX12" s="424"/>
      <c r="GY12" s="424"/>
      <c r="GZ12" s="424"/>
      <c r="HA12" s="424"/>
      <c r="HB12" s="424"/>
      <c r="HC12" s="424"/>
      <c r="HD12" s="424"/>
      <c r="HE12" s="424"/>
      <c r="HF12" s="424"/>
      <c r="HG12" s="424"/>
      <c r="HH12" s="424"/>
      <c r="HI12" s="424"/>
      <c r="HJ12" s="424"/>
      <c r="HK12" s="424"/>
      <c r="HL12" s="424"/>
      <c r="HM12" s="424"/>
      <c r="HN12" s="424"/>
      <c r="HO12" s="424"/>
      <c r="HP12" s="424"/>
      <c r="HQ12" s="424"/>
      <c r="HR12" s="424"/>
      <c r="HS12" s="424"/>
      <c r="HT12" s="424"/>
      <c r="HU12" s="424"/>
      <c r="HV12" s="424"/>
      <c r="HW12" s="424"/>
      <c r="HX12" s="424"/>
      <c r="HY12" s="424"/>
      <c r="HZ12" s="424"/>
      <c r="IA12" s="424"/>
      <c r="IB12" s="424"/>
      <c r="IC12" s="424"/>
      <c r="ID12" s="424"/>
      <c r="IE12" s="424"/>
      <c r="IF12" s="424"/>
      <c r="IG12" s="424"/>
      <c r="IH12" s="424"/>
      <c r="II12" s="424"/>
      <c r="IJ12" s="424"/>
      <c r="IK12" s="424"/>
      <c r="IL12" s="424"/>
      <c r="IM12" s="424"/>
      <c r="IN12" s="424"/>
      <c r="IO12" s="424"/>
      <c r="IP12" s="424"/>
      <c r="IQ12" s="424"/>
      <c r="IR12" s="424"/>
      <c r="IS12" s="424"/>
    </row>
    <row r="13" spans="1:253" ht="42" customHeight="1" x14ac:dyDescent="0.2">
      <c r="A13" s="1415"/>
      <c r="B13" s="1418"/>
      <c r="C13" s="1415"/>
      <c r="D13" s="1410"/>
      <c r="E13" s="1418"/>
      <c r="F13" s="1423"/>
      <c r="G13" s="1424"/>
      <c r="H13" s="1426"/>
      <c r="I13" s="1426"/>
      <c r="J13" s="1426"/>
      <c r="K13" s="570" t="s">
        <v>385</v>
      </c>
      <c r="L13" s="570" t="s">
        <v>66</v>
      </c>
      <c r="M13" s="570" t="s">
        <v>386</v>
      </c>
      <c r="P13" s="425" t="s">
        <v>387</v>
      </c>
    </row>
    <row r="14" spans="1:253" ht="15" x14ac:dyDescent="0.25">
      <c r="A14" s="571" t="s">
        <v>354</v>
      </c>
      <c r="B14" s="572" t="s">
        <v>355</v>
      </c>
      <c r="C14" s="573" t="s">
        <v>356</v>
      </c>
      <c r="D14" s="573" t="s">
        <v>357</v>
      </c>
      <c r="E14" s="574" t="s">
        <v>358</v>
      </c>
      <c r="F14" s="1431" t="s">
        <v>359</v>
      </c>
      <c r="G14" s="1431"/>
      <c r="H14" s="574" t="s">
        <v>376</v>
      </c>
      <c r="I14" s="574" t="s">
        <v>388</v>
      </c>
      <c r="J14" s="574" t="s">
        <v>389</v>
      </c>
      <c r="K14" s="575" t="s">
        <v>390</v>
      </c>
      <c r="L14" s="576" t="s">
        <v>391</v>
      </c>
      <c r="M14" s="575"/>
    </row>
    <row r="15" spans="1:253" ht="15" x14ac:dyDescent="0.25">
      <c r="A15" s="1432" t="s">
        <v>360</v>
      </c>
      <c r="B15" s="1433"/>
      <c r="C15" s="1433"/>
      <c r="D15" s="1433"/>
      <c r="E15" s="1433"/>
      <c r="F15" s="1433"/>
      <c r="G15" s="1433"/>
      <c r="H15" s="1433"/>
      <c r="I15" s="1433"/>
      <c r="J15" s="1433"/>
      <c r="K15" s="1433"/>
      <c r="L15" s="1434"/>
      <c r="M15" s="577"/>
      <c r="P15" s="435" t="s">
        <v>392</v>
      </c>
      <c r="Q15" s="436"/>
      <c r="R15" s="436"/>
    </row>
    <row r="16" spans="1:253" ht="45.75" customHeight="1" x14ac:dyDescent="0.2">
      <c r="A16" s="1435">
        <v>1</v>
      </c>
      <c r="B16" s="1438" t="e">
        <f>#REF!</f>
        <v>#REF!</v>
      </c>
      <c r="C16" s="1441" t="e">
        <f>#REF!</f>
        <v>#REF!</v>
      </c>
      <c r="D16" s="578" t="s">
        <v>361</v>
      </c>
      <c r="E16" s="579" t="e">
        <f>#REF!</f>
        <v>#REF!</v>
      </c>
      <c r="F16" s="617">
        <v>6</v>
      </c>
      <c r="G16" s="618" t="s">
        <v>362</v>
      </c>
      <c r="H16" s="437">
        <v>1</v>
      </c>
      <c r="I16" s="437">
        <v>1</v>
      </c>
      <c r="J16" s="625" t="str">
        <f>IF(I16&lt;60%,"Sangat Baik",IF(I16&lt;80%,"Kurang",IF(I16&lt;100%,"Cukup",IF(I16=100%,"Baik",IF(I16&lt;111%,"Sangat Baik")))))</f>
        <v>Baik</v>
      </c>
      <c r="K16" s="599" t="str">
        <f>IF(L16&lt;=49,"Buruk",IF(L16&lt;=69,"Sedang",IF(L16&lt;=89,"Cukup",IF(L16&lt;=109.99,"Baik","Sangat Baik"))))</f>
        <v>Baik</v>
      </c>
      <c r="L16" s="480">
        <v>104</v>
      </c>
      <c r="M16" s="599">
        <f>SUM((80/100)*L16)+(20/100)*100</f>
        <v>103.2</v>
      </c>
    </row>
    <row r="17" spans="1:17" ht="50.25" customHeight="1" x14ac:dyDescent="0.2">
      <c r="A17" s="1436"/>
      <c r="B17" s="1439"/>
      <c r="C17" s="1442"/>
      <c r="D17" s="578" t="s">
        <v>363</v>
      </c>
      <c r="E17" s="580" t="e">
        <f>#REF!</f>
        <v>#REF!</v>
      </c>
      <c r="F17" s="619">
        <f>'[7]1,  RENCANA SKP JF (M.I)'!H17</f>
        <v>100</v>
      </c>
      <c r="G17" s="620" t="s">
        <v>364</v>
      </c>
      <c r="H17" s="437">
        <v>1</v>
      </c>
      <c r="I17" s="437">
        <v>1</v>
      </c>
      <c r="J17" s="626"/>
      <c r="K17" s="602"/>
      <c r="L17" s="481"/>
      <c r="M17" s="631"/>
    </row>
    <row r="18" spans="1:17" ht="18" customHeight="1" x14ac:dyDescent="0.2">
      <c r="A18" s="1437"/>
      <c r="B18" s="1440"/>
      <c r="C18" s="1443"/>
      <c r="D18" s="578" t="s">
        <v>11</v>
      </c>
      <c r="E18" s="581" t="e">
        <f>#REF!</f>
        <v>#REF!</v>
      </c>
      <c r="F18" s="621">
        <f>'[7]1,  RENCANA SKP JF (M.I)'!H18</f>
        <v>6</v>
      </c>
      <c r="G18" s="622" t="s">
        <v>365</v>
      </c>
      <c r="H18" s="437">
        <v>1</v>
      </c>
      <c r="I18" s="437">
        <v>1</v>
      </c>
      <c r="J18" s="626"/>
      <c r="K18" s="614"/>
      <c r="L18" s="482"/>
      <c r="M18" s="632"/>
    </row>
    <row r="19" spans="1:17" ht="42.75" customHeight="1" x14ac:dyDescent="0.2">
      <c r="A19" s="1444">
        <v>2</v>
      </c>
      <c r="B19" s="1445" t="e">
        <f>#REF!</f>
        <v>#REF!</v>
      </c>
      <c r="C19" s="1446" t="e">
        <f>#REF!</f>
        <v>#REF!</v>
      </c>
      <c r="D19" s="582" t="s">
        <v>361</v>
      </c>
      <c r="E19" s="583" t="e">
        <f>#REF!</f>
        <v>#REF!</v>
      </c>
      <c r="F19" s="623">
        <v>2</v>
      </c>
      <c r="G19" s="624" t="s">
        <v>377</v>
      </c>
      <c r="H19" s="512">
        <v>1</v>
      </c>
      <c r="I19" s="512">
        <v>1</v>
      </c>
      <c r="J19" s="614" t="str">
        <f>IF(I19&lt;60%,"Sangat Baik",IF(I19&lt;80%,"Kurang",IF(I19&lt;100%,"Cukup",IF(I19=100%,"Baik",IF(I19&lt;111%,"Sangat Baik")))))</f>
        <v>Baik</v>
      </c>
      <c r="K19" s="602" t="str">
        <f>IF(L19&lt;=49,"Buruk",IF(L19&lt;=69,"Sedang",IF(L19&lt;=89,"Cukup",IF(L19&lt;=109.99,"Baik","Sangat Baik"))))</f>
        <v>Baik</v>
      </c>
      <c r="L19" s="481">
        <v>100</v>
      </c>
      <c r="M19" s="602">
        <f>SUM((80/100)*L19)+(20/100)*100</f>
        <v>100</v>
      </c>
    </row>
    <row r="20" spans="1:17" ht="57" customHeight="1" x14ac:dyDescent="0.2">
      <c r="A20" s="1444"/>
      <c r="B20" s="1445"/>
      <c r="C20" s="1447"/>
      <c r="D20" s="578" t="s">
        <v>363</v>
      </c>
      <c r="E20" s="580" t="e">
        <f>#REF!</f>
        <v>#REF!</v>
      </c>
      <c r="F20" s="593">
        <v>100</v>
      </c>
      <c r="G20" s="594" t="s">
        <v>364</v>
      </c>
      <c r="H20" s="438">
        <v>1</v>
      </c>
      <c r="I20" s="438">
        <v>1</v>
      </c>
      <c r="J20" s="626"/>
      <c r="K20" s="602"/>
      <c r="L20" s="481"/>
      <c r="M20" s="631"/>
    </row>
    <row r="21" spans="1:17" ht="25.5" customHeight="1" x14ac:dyDescent="0.2">
      <c r="A21" s="1444"/>
      <c r="B21" s="1445"/>
      <c r="C21" s="1448"/>
      <c r="D21" s="578" t="s">
        <v>11</v>
      </c>
      <c r="E21" s="580" t="e">
        <f>#REF!</f>
        <v>#REF!</v>
      </c>
      <c r="F21" s="593">
        <v>6</v>
      </c>
      <c r="G21" s="594" t="s">
        <v>365</v>
      </c>
      <c r="H21" s="438">
        <v>1</v>
      </c>
      <c r="I21" s="438">
        <v>1</v>
      </c>
      <c r="J21" s="626"/>
      <c r="K21" s="614"/>
      <c r="L21" s="482"/>
      <c r="M21" s="632"/>
    </row>
    <row r="22" spans="1:17" ht="29.25" customHeight="1" x14ac:dyDescent="0.2">
      <c r="A22" s="584"/>
      <c r="B22" s="585"/>
      <c r="C22" s="1449" t="e">
        <f>#REF!</f>
        <v>#REF!</v>
      </c>
      <c r="D22" s="578" t="s">
        <v>361</v>
      </c>
      <c r="E22" s="580" t="e">
        <f>#REF!</f>
        <v>#REF!</v>
      </c>
      <c r="F22" s="593">
        <v>1</v>
      </c>
      <c r="G22" s="594" t="s">
        <v>113</v>
      </c>
      <c r="H22" s="438">
        <v>1</v>
      </c>
      <c r="I22" s="438">
        <v>1</v>
      </c>
      <c r="J22" s="625" t="str">
        <f>IF(I22&lt;60%,"Ssangat Baik",IF(I22&lt;80%,"Kurang",IF(I22&lt;100%,"Cukup",IF(I22=100%,"Baik",IF(I22&lt;111%,"Sangat Baik")))))</f>
        <v>Baik</v>
      </c>
      <c r="K22" s="599" t="str">
        <f>IF(L22&lt;=49,"Buruk",IF(L22&lt;=69,"Sedang",IF(L22&lt;=89,"Cukup",IF(L22&lt;=109.99,"Baik","Sangat Baik"))))</f>
        <v>Baik</v>
      </c>
      <c r="L22" s="480">
        <v>105</v>
      </c>
      <c r="M22" s="599">
        <f>SUM((80/100)*L22)+(20/100)*100</f>
        <v>104</v>
      </c>
    </row>
    <row r="23" spans="1:17" ht="63.75" customHeight="1" x14ac:dyDescent="0.2">
      <c r="A23" s="584"/>
      <c r="B23" s="585"/>
      <c r="C23" s="1450"/>
      <c r="D23" s="578" t="s">
        <v>363</v>
      </c>
      <c r="E23" s="580" t="e">
        <f>#REF!</f>
        <v>#REF!</v>
      </c>
      <c r="F23" s="593">
        <v>100</v>
      </c>
      <c r="G23" s="594" t="s">
        <v>364</v>
      </c>
      <c r="H23" s="438">
        <v>1</v>
      </c>
      <c r="I23" s="438">
        <v>1</v>
      </c>
      <c r="J23" s="626"/>
      <c r="K23" s="602"/>
      <c r="L23" s="481"/>
      <c r="M23" s="631"/>
    </row>
    <row r="24" spans="1:17" ht="22.5" customHeight="1" x14ac:dyDescent="0.2">
      <c r="A24" s="586"/>
      <c r="B24" s="587"/>
      <c r="C24" s="1451"/>
      <c r="D24" s="578" t="s">
        <v>11</v>
      </c>
      <c r="E24" s="580" t="e">
        <f>#REF!</f>
        <v>#REF!</v>
      </c>
      <c r="F24" s="593">
        <v>6</v>
      </c>
      <c r="G24" s="594" t="s">
        <v>365</v>
      </c>
      <c r="H24" s="438">
        <v>1</v>
      </c>
      <c r="I24" s="438">
        <v>1</v>
      </c>
      <c r="J24" s="626"/>
      <c r="K24" s="614"/>
      <c r="L24" s="482"/>
      <c r="M24" s="439"/>
    </row>
    <row r="25" spans="1:17" ht="15" x14ac:dyDescent="0.25">
      <c r="A25" s="1452" t="s">
        <v>366</v>
      </c>
      <c r="B25" s="1452"/>
      <c r="C25" s="1452"/>
      <c r="D25" s="1452"/>
      <c r="E25" s="1452"/>
      <c r="F25" s="1452"/>
      <c r="G25" s="1452"/>
      <c r="H25" s="1452"/>
      <c r="I25" s="1452"/>
      <c r="J25" s="1452"/>
      <c r="K25" s="1452"/>
      <c r="L25" s="1452"/>
      <c r="M25" s="1452"/>
      <c r="P25" s="440" t="s">
        <v>393</v>
      </c>
      <c r="Q25" s="436"/>
    </row>
    <row r="26" spans="1:17" ht="35.25" customHeight="1" x14ac:dyDescent="0.2">
      <c r="A26" s="1453">
        <v>1</v>
      </c>
      <c r="B26" s="588" t="e">
        <f>#REF!</f>
        <v>#REF!</v>
      </c>
      <c r="C26" s="1428" t="e">
        <f>#REF!</f>
        <v>#REF!</v>
      </c>
      <c r="D26" s="578" t="s">
        <v>361</v>
      </c>
      <c r="E26" s="589" t="str">
        <f>'[1]5. Penetapan JF (M.I)'!G35</f>
        <v>Jumlah Laporan Hasil Diklat Fungsional (antara 30 - 80 JP)</v>
      </c>
      <c r="F26" s="590">
        <v>1</v>
      </c>
      <c r="G26" s="591" t="s">
        <v>113</v>
      </c>
      <c r="H26" s="438">
        <v>1</v>
      </c>
      <c r="I26" s="438">
        <v>1</v>
      </c>
      <c r="J26" s="625" t="str">
        <f>IF(I26&lt;60%,"Ssangat Baik",IF(I26&lt;80%,"Kurang",IF(I26&lt;100%,"Cukup",IF(I26=100%,"Baik",IF(I26&lt;111%,"Sangat Baik")))))</f>
        <v>Baik</v>
      </c>
      <c r="K26" s="599" t="str">
        <f>IF(L26&lt;=49,"Buruk",IF(L26&lt;=69,"Sedang",IF(L26&lt;=89,"Cukup",IF(L26&lt;=109.99,"Baik","Sangat Baik"))))</f>
        <v>Baik</v>
      </c>
      <c r="L26" s="480">
        <v>95</v>
      </c>
      <c r="M26" s="599">
        <f>SUM(O26/100)*SUM(1/100)*L26</f>
        <v>0.19</v>
      </c>
      <c r="O26" s="441" t="str">
        <f>IF(K26="(Sangat Baik)","100",IF(K26="(Baik)","80",IF(K26="(Cukup)","60",IF(K26="(Kurang)","40","20"))))</f>
        <v>20</v>
      </c>
    </row>
    <row r="27" spans="1:17" ht="50.25" customHeight="1" x14ac:dyDescent="0.2">
      <c r="A27" s="1454"/>
      <c r="B27" s="592"/>
      <c r="C27" s="1429"/>
      <c r="D27" s="578" t="s">
        <v>363</v>
      </c>
      <c r="E27" s="589" t="str">
        <f>'[1]5. Penetapan JF (M.I)'!G36</f>
        <v>Persentase tercapainya perencanaan, pelaksanaan   evaluasi Diklat  Fungsional</v>
      </c>
      <c r="F27" s="593">
        <v>100</v>
      </c>
      <c r="G27" s="594" t="s">
        <v>364</v>
      </c>
      <c r="H27" s="438">
        <v>1</v>
      </c>
      <c r="I27" s="438">
        <v>1</v>
      </c>
      <c r="J27" s="627"/>
      <c r="K27" s="628"/>
      <c r="L27" s="481"/>
      <c r="M27" s="602"/>
    </row>
    <row r="28" spans="1:17" ht="21" customHeight="1" x14ac:dyDescent="0.2">
      <c r="A28" s="1454"/>
      <c r="B28" s="592"/>
      <c r="C28" s="1430"/>
      <c r="D28" s="578" t="s">
        <v>11</v>
      </c>
      <c r="E28" s="595" t="str">
        <f>'[1]5. Penetapan JF (M.I)'!G37</f>
        <v>Ketepatan waktu pelaksanaan</v>
      </c>
      <c r="F28" s="593">
        <v>6</v>
      </c>
      <c r="G28" s="594" t="s">
        <v>365</v>
      </c>
      <c r="H28" s="438"/>
      <c r="I28" s="438"/>
      <c r="J28" s="627"/>
      <c r="K28" s="629"/>
      <c r="L28" s="482"/>
      <c r="M28" s="614"/>
    </row>
    <row r="29" spans="1:17" ht="21" customHeight="1" x14ac:dyDescent="0.2">
      <c r="A29" s="1454"/>
      <c r="B29" s="592"/>
      <c r="C29" s="1428" t="e">
        <f>#REF!</f>
        <v>#REF!</v>
      </c>
      <c r="D29" s="578" t="s">
        <v>361</v>
      </c>
      <c r="E29" s="589" t="str">
        <f>'[1]5. Penetapan JF (M.I)'!G38</f>
        <v>Jumlah laporan kegiatan</v>
      </c>
      <c r="F29" s="590">
        <v>1</v>
      </c>
      <c r="G29" s="591" t="s">
        <v>113</v>
      </c>
      <c r="H29" s="438">
        <v>1</v>
      </c>
      <c r="I29" s="438">
        <v>1</v>
      </c>
      <c r="J29" s="625" t="str">
        <f>IF(I29&lt;60%,"Ssangat Baik",IF(I29&lt;80%,"Kurang",IF(I29&lt;100%,"Cukup",IF(I29=100%,"Baik",IF(I29&lt;111%,"Sangat Baik")))))</f>
        <v>Baik</v>
      </c>
      <c r="K29" s="599" t="str">
        <f>IF(L29&lt;=49,"Buruk",IF(L29&lt;=69,"Sedang",IF(L29&lt;=89,"Cukup",IF(L29&lt;=109.99,"Baik","Sangat Baik"))))</f>
        <v>Cukup</v>
      </c>
      <c r="L29" s="480">
        <v>85</v>
      </c>
      <c r="M29" s="599">
        <f>SUM(O29/100)*SUM(1/100)*L29</f>
        <v>0.17</v>
      </c>
      <c r="O29" s="441" t="str">
        <f>IF(K29="(Sangat Baik)","100",IF(K29="(Baik)","80",IF(K29="(Cukup)","60",IF(K29="(Kurang)","40","20"))))</f>
        <v>20</v>
      </c>
    </row>
    <row r="30" spans="1:17" ht="47.25" customHeight="1" x14ac:dyDescent="0.2">
      <c r="A30" s="596"/>
      <c r="B30" s="592"/>
      <c r="C30" s="1429"/>
      <c r="D30" s="578" t="s">
        <v>363</v>
      </c>
      <c r="E30" s="589" t="str">
        <f>'[1]5. Penetapan JF (M.I)'!G39</f>
        <v>Persentase tercapainya perencanaan, pelaksanaan   evaluasi kegiatan kolektif guru</v>
      </c>
      <c r="F30" s="593">
        <v>100</v>
      </c>
      <c r="G30" s="594" t="s">
        <v>364</v>
      </c>
      <c r="H30" s="438">
        <v>1</v>
      </c>
      <c r="I30" s="438">
        <v>1</v>
      </c>
      <c r="J30" s="627"/>
      <c r="K30" s="628"/>
      <c r="L30" s="481"/>
      <c r="M30" s="602"/>
    </row>
    <row r="31" spans="1:17" ht="34.5" customHeight="1" x14ac:dyDescent="0.2">
      <c r="A31" s="596"/>
      <c r="B31" s="592"/>
      <c r="C31" s="1430"/>
      <c r="D31" s="578" t="s">
        <v>11</v>
      </c>
      <c r="E31" s="589" t="str">
        <f>'[1]5. Penetapan JF (M.I)'!G40</f>
        <v>Ketepatan waktu pelaksanaan</v>
      </c>
      <c r="F31" s="593">
        <v>6</v>
      </c>
      <c r="G31" s="594" t="s">
        <v>365</v>
      </c>
      <c r="H31" s="438">
        <v>1</v>
      </c>
      <c r="I31" s="438">
        <v>1</v>
      </c>
      <c r="J31" s="627"/>
      <c r="K31" s="629"/>
      <c r="L31" s="482"/>
      <c r="M31" s="614"/>
    </row>
    <row r="32" spans="1:17" ht="29.25" customHeight="1" x14ac:dyDescent="0.2">
      <c r="A32" s="596"/>
      <c r="B32" s="592"/>
      <c r="C32" s="1428" t="e">
        <f>#REF!</f>
        <v>#REF!</v>
      </c>
      <c r="D32" s="578" t="s">
        <v>361</v>
      </c>
      <c r="E32" s="589" t="str">
        <f>'[1]5. Penetapan JF (M.I)'!G41</f>
        <v>Jumlah laporan karya ilmiah</v>
      </c>
      <c r="F32" s="590">
        <v>1</v>
      </c>
      <c r="G32" s="591" t="s">
        <v>113</v>
      </c>
      <c r="H32" s="438">
        <v>1</v>
      </c>
      <c r="I32" s="438">
        <v>1</v>
      </c>
      <c r="J32" s="625" t="str">
        <f>IF(I32&lt;60%,"Ssangat Baik",IF(I32&lt;80%,"Kurang",IF(I32&lt;100%,"Cukup",IF(I32=100%,"Baik",IF(I32&lt;111%,"Sangat Baik")))))</f>
        <v>Baik</v>
      </c>
      <c r="K32" s="599" t="str">
        <f>IF(L32&lt;=49,"Buruk",IF(L32&lt;=69,"Sedang",IF(L32&lt;=89,"Cukup",IF(L32&lt;=109.99,"Baik","Sangat Baik"))))</f>
        <v>Sangat Baik</v>
      </c>
      <c r="L32" s="480">
        <v>120</v>
      </c>
      <c r="M32" s="599">
        <f>SUM(O32/100)*SUM(1/100)*L32</f>
        <v>0.24</v>
      </c>
      <c r="O32" s="441" t="str">
        <f>IF(K32="(Sangat Baik)","100",IF(K32="(Baik)","80",IF(K32="(Cukup)","60",IF(K32="(Kurang)","40","20"))))</f>
        <v>20</v>
      </c>
    </row>
    <row r="33" spans="1:15" ht="47.25" customHeight="1" x14ac:dyDescent="0.2">
      <c r="A33" s="596"/>
      <c r="B33" s="592"/>
      <c r="C33" s="1429"/>
      <c r="D33" s="578" t="s">
        <v>363</v>
      </c>
      <c r="E33" s="589" t="str">
        <f>'[1]5. Penetapan JF (M.I)'!G42</f>
        <v>Persentase tercapainya perencanaan, pelaksanaan   evaluasi karya ilmiah</v>
      </c>
      <c r="F33" s="593">
        <v>100</v>
      </c>
      <c r="G33" s="594" t="s">
        <v>364</v>
      </c>
      <c r="H33" s="438">
        <v>1</v>
      </c>
      <c r="I33" s="438">
        <v>1</v>
      </c>
      <c r="J33" s="627"/>
      <c r="K33" s="628"/>
      <c r="L33" s="481"/>
      <c r="M33" s="602"/>
    </row>
    <row r="34" spans="1:15" ht="22.5" customHeight="1" x14ac:dyDescent="0.2">
      <c r="A34" s="596"/>
      <c r="B34" s="592"/>
      <c r="C34" s="1430"/>
      <c r="D34" s="578" t="s">
        <v>11</v>
      </c>
      <c r="E34" s="589" t="str">
        <f>'[1]5. Penetapan JF (M.I)'!G43</f>
        <v>Ketepatan waktu pelaksanaan</v>
      </c>
      <c r="F34" s="593">
        <v>6</v>
      </c>
      <c r="G34" s="594" t="s">
        <v>365</v>
      </c>
      <c r="H34" s="438">
        <v>1</v>
      </c>
      <c r="I34" s="438">
        <v>1</v>
      </c>
      <c r="J34" s="627"/>
      <c r="K34" s="629"/>
      <c r="L34" s="482"/>
      <c r="M34" s="614"/>
    </row>
    <row r="35" spans="1:15" ht="18.75" customHeight="1" x14ac:dyDescent="0.2">
      <c r="A35" s="596"/>
      <c r="B35" s="592"/>
      <c r="C35" s="1428" t="e">
        <f>#REF!</f>
        <v>#REF!</v>
      </c>
      <c r="D35" s="578" t="s">
        <v>361</v>
      </c>
      <c r="E35" s="589" t="str">
        <f>'[1]5. Penetapan JF (M.I)'!G44</f>
        <v>Jumlah laporan karya inovatif</v>
      </c>
      <c r="F35" s="590">
        <v>1</v>
      </c>
      <c r="G35" s="591" t="s">
        <v>113</v>
      </c>
      <c r="H35" s="438">
        <v>1</v>
      </c>
      <c r="I35" s="438">
        <v>1</v>
      </c>
      <c r="J35" s="625" t="str">
        <f>IF(I35&lt;60%,"Ssangat Baik",IF(I35&lt;80%,"Kurang",IF(I35&lt;100%,"Cukup",IF(I35=100%,"Baik",IF(I35&lt;111%,"Sangat Baik")))))</f>
        <v>Baik</v>
      </c>
      <c r="K35" s="599" t="str">
        <f>IF(L35&lt;=49,"Buruk",IF(L35&lt;=69,"Sedang",IF(L35&lt;=89,"Cukup",IF(L35&lt;=109.99,"Baik","Sangat Baik"))))</f>
        <v>Baik</v>
      </c>
      <c r="L35" s="480">
        <v>90</v>
      </c>
      <c r="M35" s="599">
        <f>SUM(O35/100)*SUM(1/100)*L35</f>
        <v>0.18</v>
      </c>
      <c r="O35" s="441" t="str">
        <f>IF(K35="(Sangat Baik)","100",IF(K35="(Baik)","80",IF(K35="(Cukup)","60",IF(K35="(Kurang)","40","20"))))</f>
        <v>20</v>
      </c>
    </row>
    <row r="36" spans="1:15" ht="54" customHeight="1" x14ac:dyDescent="0.2">
      <c r="A36" s="597"/>
      <c r="B36" s="592"/>
      <c r="C36" s="1429"/>
      <c r="D36" s="578" t="s">
        <v>363</v>
      </c>
      <c r="E36" s="589" t="str">
        <f>'[1]5. Penetapan JF (M.I)'!G45</f>
        <v>Persentase tercapainya perencanaan, pelaksanaan   evaluasi karya inovatif</v>
      </c>
      <c r="F36" s="593">
        <v>100</v>
      </c>
      <c r="G36" s="594" t="s">
        <v>364</v>
      </c>
      <c r="H36" s="438">
        <v>1</v>
      </c>
      <c r="I36" s="438">
        <v>1</v>
      </c>
      <c r="J36" s="627"/>
      <c r="K36" s="628"/>
      <c r="L36" s="481"/>
      <c r="M36" s="602"/>
    </row>
    <row r="37" spans="1:15" ht="36" customHeight="1" x14ac:dyDescent="0.2">
      <c r="A37" s="596"/>
      <c r="B37" s="598"/>
      <c r="C37" s="1430"/>
      <c r="D37" s="578" t="s">
        <v>11</v>
      </c>
      <c r="E37" s="589" t="str">
        <f>'[1]5. Penetapan JF (M.I)'!G46</f>
        <v>Ketepatan waktu pelaksanaan</v>
      </c>
      <c r="F37" s="593">
        <v>6</v>
      </c>
      <c r="G37" s="594" t="s">
        <v>365</v>
      </c>
      <c r="H37" s="438">
        <v>1</v>
      </c>
      <c r="I37" s="438">
        <v>1</v>
      </c>
      <c r="J37" s="627"/>
      <c r="K37" s="629"/>
      <c r="L37" s="482"/>
      <c r="M37" s="614"/>
    </row>
    <row r="38" spans="1:15" ht="31.5" customHeight="1" x14ac:dyDescent="0.2">
      <c r="A38" s="599">
        <v>2</v>
      </c>
      <c r="B38" s="1368" t="e">
        <f>#REF!</f>
        <v>#REF!</v>
      </c>
      <c r="C38" s="1428" t="e">
        <f>#REF!</f>
        <v>#REF!</v>
      </c>
      <c r="D38" s="578" t="s">
        <v>361</v>
      </c>
      <c r="E38" s="589" t="e">
        <f>#REF!</f>
        <v>#REF!</v>
      </c>
      <c r="F38" s="600">
        <v>1</v>
      </c>
      <c r="G38" s="601" t="s">
        <v>116</v>
      </c>
      <c r="H38" s="438">
        <v>1</v>
      </c>
      <c r="I38" s="438">
        <v>1</v>
      </c>
      <c r="J38" s="625" t="str">
        <f>IF(I38&lt;60%,"Ssangat Baik",IF(I38&lt;80%,"Kurang",IF(I38&lt;100%,"Cukup",IF(I38=100%,"Baik",IF(I38&lt;111%,"Sangat Baik")))))</f>
        <v>Baik</v>
      </c>
      <c r="K38" s="599" t="str">
        <f>IF(L38&lt;=49,"Buruk",IF(L38&lt;=69,"Sedang",IF(L38&lt;=89,"Cukup",IF(L38&lt;=109.99,"Baik","Sangat Baik"))))</f>
        <v>Cukup</v>
      </c>
      <c r="L38" s="480">
        <v>85</v>
      </c>
      <c r="M38" s="599">
        <f>SUM(60/100)*SUM(1/100)*L38</f>
        <v>0.51</v>
      </c>
      <c r="O38" s="441" t="str">
        <f>IF(K38="(Sangat Baik)","100",IF(K38="(Baik)","80",IF(K38="(Cukup)","60",IF(K38="(Kurang)","40","20"))))</f>
        <v>20</v>
      </c>
    </row>
    <row r="39" spans="1:15" ht="57.75" customHeight="1" x14ac:dyDescent="0.2">
      <c r="A39" s="602"/>
      <c r="B39" s="1368"/>
      <c r="C39" s="1429"/>
      <c r="D39" s="578" t="s">
        <v>363</v>
      </c>
      <c r="E39" s="589" t="e">
        <f>#REF!</f>
        <v>#REF!</v>
      </c>
      <c r="F39" s="603">
        <v>100</v>
      </c>
      <c r="G39" s="604" t="s">
        <v>364</v>
      </c>
      <c r="H39" s="437">
        <v>1</v>
      </c>
      <c r="I39" s="437">
        <v>1</v>
      </c>
      <c r="J39" s="630"/>
      <c r="K39" s="628"/>
      <c r="L39" s="428"/>
      <c r="M39" s="631"/>
    </row>
    <row r="40" spans="1:15" ht="24" customHeight="1" x14ac:dyDescent="0.2">
      <c r="A40" s="602"/>
      <c r="B40" s="1368"/>
      <c r="C40" s="1429"/>
      <c r="D40" s="578" t="s">
        <v>11</v>
      </c>
      <c r="E40" s="589" t="e">
        <f>#REF!</f>
        <v>#REF!</v>
      </c>
      <c r="F40" s="605">
        <v>6</v>
      </c>
      <c r="G40" s="606" t="s">
        <v>367</v>
      </c>
      <c r="H40" s="442"/>
      <c r="I40" s="442"/>
      <c r="J40" s="630"/>
      <c r="K40" s="628"/>
      <c r="L40" s="428"/>
      <c r="M40" s="628"/>
    </row>
    <row r="41" spans="1:15" ht="23.25" customHeight="1" x14ac:dyDescent="0.2">
      <c r="A41" s="599">
        <v>3</v>
      </c>
      <c r="B41" s="1368" t="e">
        <f>#REF!</f>
        <v>#REF!</v>
      </c>
      <c r="C41" s="1428" t="e">
        <f>#REF!</f>
        <v>#REF!</v>
      </c>
      <c r="D41" s="578" t="s">
        <v>361</v>
      </c>
      <c r="E41" s="589" t="e">
        <f>#REF!</f>
        <v>#REF!</v>
      </c>
      <c r="F41" s="590">
        <v>1</v>
      </c>
      <c r="G41" s="607" t="s">
        <v>113</v>
      </c>
      <c r="H41" s="437">
        <v>1</v>
      </c>
      <c r="I41" s="437">
        <v>1</v>
      </c>
      <c r="J41" s="625" t="str">
        <f>IF(I41&lt;60%,"Ssangat Baik",IF(I41&lt;80%,"Kurang",IF(I41&lt;100%,"Cukup",IF(I41=100%,"Baik",IF(I41&lt;111%,"Sangat Baik")))))</f>
        <v>Baik</v>
      </c>
      <c r="K41" s="599" t="str">
        <f>IF(L41&lt;=49,"Buruk",IF(L41&lt;=69,"Sedang",IF(L41&lt;=89,"Cukup",IF(L41&lt;=109.99,"Baik","Sangat Baik"))))</f>
        <v>Baik</v>
      </c>
      <c r="L41" s="443">
        <v>91</v>
      </c>
      <c r="M41" s="599">
        <f>SUM(60/100)*SUM(1/100)*L41</f>
        <v>0.54600000000000004</v>
      </c>
      <c r="O41" s="441" t="str">
        <f>IF(K41="(Sangat Baik)","100",IF(K41="(Baik)","80",IF(K41="(Cukup)","60",IF(K41="(Kurang)","40","20"))))</f>
        <v>20</v>
      </c>
    </row>
    <row r="42" spans="1:15" ht="50.25" customHeight="1" x14ac:dyDescent="0.2">
      <c r="A42" s="608"/>
      <c r="B42" s="1368"/>
      <c r="C42" s="1429"/>
      <c r="D42" s="578" t="s">
        <v>363</v>
      </c>
      <c r="E42" s="589" t="e">
        <f>#REF!</f>
        <v>#REF!</v>
      </c>
      <c r="F42" s="609">
        <v>100</v>
      </c>
      <c r="G42" s="610" t="s">
        <v>364</v>
      </c>
      <c r="H42" s="437">
        <v>1</v>
      </c>
      <c r="I42" s="437">
        <v>1</v>
      </c>
      <c r="J42" s="627"/>
      <c r="K42" s="628"/>
      <c r="L42" s="428"/>
      <c r="M42" s="628"/>
    </row>
    <row r="43" spans="1:15" ht="23.25" customHeight="1" x14ac:dyDescent="0.2">
      <c r="A43" s="611"/>
      <c r="B43" s="1368"/>
      <c r="C43" s="1430"/>
      <c r="D43" s="578" t="s">
        <v>11</v>
      </c>
      <c r="E43" s="589" t="e">
        <f>#REF!</f>
        <v>#REF!</v>
      </c>
      <c r="F43" s="612">
        <v>6</v>
      </c>
      <c r="G43" s="613" t="s">
        <v>367</v>
      </c>
      <c r="H43" s="437">
        <v>1</v>
      </c>
      <c r="I43" s="437">
        <v>1</v>
      </c>
      <c r="J43" s="627"/>
      <c r="K43" s="629"/>
      <c r="L43" s="430"/>
      <c r="M43" s="629"/>
    </row>
    <row r="44" spans="1:15" ht="23.25" customHeight="1" x14ac:dyDescent="0.2">
      <c r="A44" s="599">
        <v>4</v>
      </c>
      <c r="B44" s="1368" t="e">
        <f>#REF!</f>
        <v>#REF!</v>
      </c>
      <c r="C44" s="1428" t="e">
        <f>#REF!</f>
        <v>#REF!</v>
      </c>
      <c r="D44" s="578" t="s">
        <v>361</v>
      </c>
      <c r="E44" s="589" t="e">
        <f>#REF!</f>
        <v>#REF!</v>
      </c>
      <c r="F44" s="590">
        <v>1</v>
      </c>
      <c r="G44" s="607" t="s">
        <v>113</v>
      </c>
      <c r="H44" s="437">
        <v>1</v>
      </c>
      <c r="I44" s="437">
        <v>1</v>
      </c>
      <c r="J44" s="625" t="str">
        <f>IF(I44&lt;60%,"Ssangat Baik",IF(I44&lt;80%,"Kurang",IF(I44&lt;100%,"Cukup",IF(I44=100%,"Baik",IF(I44&lt;111%,"Sangat Baik")))))</f>
        <v>Baik</v>
      </c>
      <c r="K44" s="599" t="str">
        <f>IF(L44&lt;=49,"Buruk",IF(L44&lt;=69,"Sedang",IF(L44&lt;=89,"Cukup",IF(L44&lt;=109.99,"Baik","Sangat Baik"))))</f>
        <v>Baik</v>
      </c>
      <c r="L44" s="443">
        <v>92</v>
      </c>
      <c r="M44" s="599">
        <f>SUM(60/100)*SUM(1/100)*L44</f>
        <v>0.55200000000000005</v>
      </c>
      <c r="O44" s="441" t="str">
        <f>IF(K44="(Sangat Baik)","100",IF(K44="(Baik)","80",IF(K44="(Cukup)","60",IF(K44="(Kurang)","40","20"))))</f>
        <v>20</v>
      </c>
    </row>
    <row r="45" spans="1:15" ht="50.25" customHeight="1" x14ac:dyDescent="0.2">
      <c r="A45" s="602"/>
      <c r="B45" s="1368"/>
      <c r="C45" s="1429"/>
      <c r="D45" s="578" t="s">
        <v>363</v>
      </c>
      <c r="E45" s="589" t="e">
        <f>#REF!</f>
        <v>#REF!</v>
      </c>
      <c r="F45" s="603">
        <v>100</v>
      </c>
      <c r="G45" s="604" t="s">
        <v>364</v>
      </c>
      <c r="H45" s="437">
        <v>1</v>
      </c>
      <c r="I45" s="437">
        <v>1</v>
      </c>
      <c r="J45" s="627"/>
      <c r="K45" s="628"/>
      <c r="L45" s="428"/>
      <c r="M45" s="628"/>
    </row>
    <row r="46" spans="1:15" ht="23.25" customHeight="1" x14ac:dyDescent="0.2">
      <c r="A46" s="614"/>
      <c r="B46" s="1368"/>
      <c r="C46" s="1430"/>
      <c r="D46" s="578" t="s">
        <v>11</v>
      </c>
      <c r="E46" s="589" t="e">
        <f>#REF!</f>
        <v>#REF!</v>
      </c>
      <c r="F46" s="605">
        <v>6</v>
      </c>
      <c r="G46" s="606" t="s">
        <v>367</v>
      </c>
      <c r="H46" s="437">
        <v>1</v>
      </c>
      <c r="I46" s="437">
        <v>1</v>
      </c>
      <c r="J46" s="627"/>
      <c r="K46" s="629"/>
      <c r="L46" s="430"/>
      <c r="M46" s="629"/>
    </row>
    <row r="47" spans="1:15" ht="33" customHeight="1" x14ac:dyDescent="0.2">
      <c r="A47" s="599">
        <v>5</v>
      </c>
      <c r="B47" s="1368" t="e">
        <f>#REF!</f>
        <v>#REF!</v>
      </c>
      <c r="C47" s="1368" t="e">
        <f>#REF!</f>
        <v>#REF!</v>
      </c>
      <c r="D47" s="578" t="s">
        <v>361</v>
      </c>
      <c r="E47" s="589" t="e">
        <f>#REF!</f>
        <v>#REF!</v>
      </c>
      <c r="F47" s="590">
        <v>1</v>
      </c>
      <c r="G47" s="607" t="s">
        <v>116</v>
      </c>
      <c r="H47" s="437">
        <v>1</v>
      </c>
      <c r="I47" s="437">
        <v>1</v>
      </c>
      <c r="J47" s="625" t="str">
        <f>IF(I47&lt;60%,"Ssangat Baik",IF(I47&lt;80%,"Kurang",IF(I47&lt;100%,"Cukup",IF(I47=100%,"Baik",IF(I47&lt;111%,"Sangat Baik")))))</f>
        <v>Baik</v>
      </c>
      <c r="K47" s="599" t="str">
        <f>IF(L47&lt;=49,"Buruk",IF(L47&lt;=69,"Sedang",IF(L47&lt;=89,"Cukup",IF(L47&lt;=109.99,"Baik","Sangat Baik"))))</f>
        <v>Baik</v>
      </c>
      <c r="L47" s="443">
        <v>90</v>
      </c>
      <c r="M47" s="599">
        <f>SUM(60/100)*SUM(1/100)*L47</f>
        <v>0.54</v>
      </c>
      <c r="O47" s="441" t="str">
        <f>IF(K47="(Sangat Baik)","100",IF(K47="(Baik)","80",IF(K47="(Cukup)","60",IF(K47="(Kurang)","40","20"))))</f>
        <v>20</v>
      </c>
    </row>
    <row r="48" spans="1:15" ht="53.25" customHeight="1" x14ac:dyDescent="0.2">
      <c r="A48" s="608"/>
      <c r="B48" s="1368"/>
      <c r="C48" s="1368"/>
      <c r="D48" s="578" t="s">
        <v>363</v>
      </c>
      <c r="E48" s="589" t="e">
        <f>#REF!</f>
        <v>#REF!</v>
      </c>
      <c r="F48" s="603">
        <v>100</v>
      </c>
      <c r="G48" s="604" t="s">
        <v>364</v>
      </c>
      <c r="H48" s="437">
        <v>1</v>
      </c>
      <c r="I48" s="437">
        <v>1</v>
      </c>
      <c r="J48" s="627"/>
      <c r="K48" s="628"/>
      <c r="L48" s="428"/>
      <c r="M48" s="628"/>
    </row>
    <row r="49" spans="1:253" ht="23.25" customHeight="1" x14ac:dyDescent="0.2">
      <c r="A49" s="611"/>
      <c r="B49" s="1368"/>
      <c r="C49" s="1368"/>
      <c r="D49" s="578" t="s">
        <v>11</v>
      </c>
      <c r="E49" s="589" t="e">
        <f>#REF!</f>
        <v>#REF!</v>
      </c>
      <c r="F49" s="600">
        <v>6</v>
      </c>
      <c r="G49" s="601" t="s">
        <v>367</v>
      </c>
      <c r="H49" s="437">
        <v>1</v>
      </c>
      <c r="I49" s="437">
        <v>1</v>
      </c>
      <c r="J49" s="627"/>
      <c r="K49" s="629"/>
      <c r="L49" s="430"/>
      <c r="M49" s="629"/>
      <c r="P49" s="511" t="s">
        <v>394</v>
      </c>
      <c r="Q49" s="436"/>
    </row>
    <row r="50" spans="1:253" ht="45" customHeight="1" x14ac:dyDescent="0.2">
      <c r="A50" s="1455" t="s">
        <v>395</v>
      </c>
      <c r="B50" s="1456"/>
      <c r="C50" s="1457"/>
      <c r="D50" s="615" t="s">
        <v>396</v>
      </c>
      <c r="E50" s="616"/>
      <c r="F50" s="616"/>
      <c r="G50" s="616"/>
      <c r="H50" s="444"/>
      <c r="I50" s="444"/>
      <c r="J50" s="444"/>
      <c r="K50" s="444"/>
      <c r="L50" s="445"/>
      <c r="M50" s="446">
        <f>SUM($M$16:$M$24)/COUNTA($M$16:$M$24)+SUM($M$26:$M$39)</f>
        <v>103.69</v>
      </c>
    </row>
    <row r="51" spans="1:253" ht="15.75" customHeight="1" x14ac:dyDescent="0.2">
      <c r="A51" s="426"/>
      <c r="B51" s="431"/>
      <c r="C51" s="431"/>
      <c r="D51" s="425"/>
      <c r="F51" s="432"/>
      <c r="G51" s="433"/>
    </row>
    <row r="52" spans="1:253" ht="15" customHeight="1" x14ac:dyDescent="0.2">
      <c r="A52" s="426"/>
      <c r="B52" s="431"/>
      <c r="C52" s="335" t="s">
        <v>378</v>
      </c>
      <c r="D52" s="425"/>
      <c r="F52" s="432"/>
      <c r="G52" s="433"/>
      <c r="I52" s="335" t="s">
        <v>397</v>
      </c>
    </row>
    <row r="53" spans="1:253" x14ac:dyDescent="0.2">
      <c r="C53" s="335" t="s">
        <v>379</v>
      </c>
      <c r="I53" s="335" t="s">
        <v>380</v>
      </c>
    </row>
    <row r="54" spans="1:253" x14ac:dyDescent="0.2">
      <c r="A54" s="335"/>
      <c r="B54" s="335"/>
      <c r="C54" s="335"/>
      <c r="D54" s="335"/>
      <c r="F54" s="335"/>
      <c r="G54" s="335"/>
      <c r="H54" s="335"/>
      <c r="I54" s="335"/>
      <c r="J54" s="335"/>
      <c r="K54" s="335"/>
      <c r="L54" s="335"/>
      <c r="M54" s="335"/>
      <c r="N54" s="335"/>
      <c r="O54" s="434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  <c r="AU54" s="335"/>
      <c r="AV54" s="335"/>
      <c r="AW54" s="335"/>
      <c r="AX54" s="335"/>
      <c r="AY54" s="335"/>
      <c r="AZ54" s="335"/>
      <c r="BA54" s="335"/>
      <c r="BB54" s="335"/>
      <c r="BC54" s="335"/>
      <c r="BD54" s="335"/>
      <c r="BE54" s="335"/>
      <c r="BF54" s="335"/>
      <c r="BG54" s="335"/>
      <c r="BH54" s="335"/>
      <c r="BI54" s="335"/>
      <c r="BJ54" s="335"/>
      <c r="BK54" s="335"/>
      <c r="BL54" s="335"/>
      <c r="BM54" s="335"/>
      <c r="BN54" s="335"/>
      <c r="BO54" s="335"/>
      <c r="BP54" s="335"/>
      <c r="BQ54" s="335"/>
      <c r="BR54" s="335"/>
      <c r="BS54" s="335"/>
      <c r="BT54" s="335"/>
      <c r="BU54" s="335"/>
      <c r="BV54" s="335"/>
      <c r="BW54" s="335"/>
      <c r="BX54" s="335"/>
      <c r="BY54" s="335"/>
      <c r="BZ54" s="335"/>
      <c r="CA54" s="335"/>
      <c r="CB54" s="335"/>
      <c r="CC54" s="335"/>
      <c r="CD54" s="335"/>
      <c r="CE54" s="335"/>
      <c r="CF54" s="335"/>
      <c r="CG54" s="335"/>
      <c r="CH54" s="335"/>
      <c r="CI54" s="335"/>
      <c r="CJ54" s="335"/>
      <c r="CK54" s="335"/>
      <c r="CL54" s="335"/>
      <c r="CM54" s="335"/>
      <c r="CN54" s="335"/>
      <c r="CO54" s="335"/>
      <c r="CP54" s="335"/>
      <c r="CQ54" s="335"/>
      <c r="CR54" s="335"/>
      <c r="CS54" s="335"/>
      <c r="CT54" s="335"/>
      <c r="CU54" s="335"/>
      <c r="CV54" s="335"/>
      <c r="CW54" s="335"/>
      <c r="CX54" s="335"/>
      <c r="CY54" s="335"/>
      <c r="CZ54" s="335"/>
      <c r="DA54" s="335"/>
      <c r="DB54" s="335"/>
      <c r="DC54" s="335"/>
      <c r="DD54" s="335"/>
      <c r="DE54" s="335"/>
      <c r="DF54" s="335"/>
      <c r="DG54" s="335"/>
      <c r="DH54" s="335"/>
      <c r="DI54" s="335"/>
      <c r="DJ54" s="335"/>
      <c r="DK54" s="335"/>
      <c r="DL54" s="335"/>
      <c r="DM54" s="335"/>
      <c r="DN54" s="335"/>
      <c r="DO54" s="335"/>
      <c r="DP54" s="335"/>
      <c r="DQ54" s="335"/>
      <c r="DR54" s="335"/>
      <c r="DS54" s="335"/>
      <c r="DT54" s="335"/>
      <c r="DU54" s="335"/>
      <c r="DV54" s="335"/>
      <c r="DW54" s="335"/>
      <c r="DX54" s="335"/>
      <c r="DY54" s="335"/>
      <c r="DZ54" s="335"/>
      <c r="EA54" s="335"/>
      <c r="EB54" s="335"/>
      <c r="EC54" s="335"/>
      <c r="ED54" s="335"/>
      <c r="EE54" s="335"/>
      <c r="EF54" s="335"/>
      <c r="EG54" s="335"/>
      <c r="EH54" s="335"/>
      <c r="EI54" s="335"/>
      <c r="EJ54" s="335"/>
      <c r="EK54" s="335"/>
      <c r="EL54" s="335"/>
      <c r="EM54" s="335"/>
      <c r="EN54" s="335"/>
      <c r="EO54" s="335"/>
      <c r="EP54" s="335"/>
      <c r="EQ54" s="335"/>
      <c r="ER54" s="335"/>
      <c r="ES54" s="335"/>
      <c r="ET54" s="335"/>
      <c r="EU54" s="335"/>
      <c r="EV54" s="335"/>
      <c r="EW54" s="335"/>
      <c r="EX54" s="335"/>
      <c r="EY54" s="335"/>
      <c r="EZ54" s="335"/>
      <c r="FA54" s="335"/>
      <c r="FB54" s="335"/>
      <c r="FC54" s="335"/>
      <c r="FD54" s="335"/>
      <c r="FE54" s="335"/>
      <c r="FF54" s="335"/>
      <c r="FG54" s="335"/>
      <c r="FH54" s="335"/>
      <c r="FI54" s="335"/>
      <c r="FJ54" s="335"/>
      <c r="FK54" s="335"/>
      <c r="FL54" s="335"/>
      <c r="FM54" s="335"/>
      <c r="FN54" s="335"/>
      <c r="FO54" s="335"/>
      <c r="FP54" s="335"/>
      <c r="FQ54" s="335"/>
      <c r="FR54" s="335"/>
      <c r="FS54" s="335"/>
      <c r="FT54" s="335"/>
      <c r="FU54" s="335"/>
      <c r="FV54" s="335"/>
      <c r="FW54" s="335"/>
      <c r="FX54" s="335"/>
      <c r="FY54" s="335"/>
      <c r="FZ54" s="335"/>
      <c r="GA54" s="335"/>
      <c r="GB54" s="335"/>
      <c r="GC54" s="335"/>
      <c r="GD54" s="335"/>
      <c r="GE54" s="335"/>
      <c r="GF54" s="335"/>
      <c r="GG54" s="335"/>
      <c r="GH54" s="335"/>
      <c r="GI54" s="335"/>
      <c r="GJ54" s="335"/>
      <c r="GK54" s="335"/>
      <c r="GL54" s="335"/>
      <c r="GM54" s="335"/>
      <c r="GN54" s="335"/>
      <c r="GO54" s="335"/>
      <c r="GP54" s="335"/>
      <c r="GQ54" s="335"/>
      <c r="GR54" s="335"/>
      <c r="GS54" s="335"/>
      <c r="GT54" s="335"/>
      <c r="GU54" s="335"/>
      <c r="GV54" s="335"/>
      <c r="GW54" s="335"/>
      <c r="GX54" s="335"/>
      <c r="GY54" s="335"/>
      <c r="GZ54" s="335"/>
      <c r="HA54" s="335"/>
      <c r="HB54" s="335"/>
      <c r="HC54" s="335"/>
      <c r="HD54" s="335"/>
      <c r="HE54" s="335"/>
      <c r="HF54" s="335"/>
      <c r="HG54" s="335"/>
      <c r="HH54" s="335"/>
      <c r="HI54" s="335"/>
      <c r="HJ54" s="335"/>
      <c r="HK54" s="335"/>
      <c r="HL54" s="335"/>
      <c r="HM54" s="335"/>
      <c r="HN54" s="335"/>
      <c r="HO54" s="335"/>
      <c r="HP54" s="335"/>
      <c r="HQ54" s="335"/>
      <c r="HR54" s="335"/>
      <c r="HS54" s="335"/>
      <c r="HT54" s="335"/>
      <c r="HU54" s="335"/>
      <c r="HV54" s="335"/>
      <c r="HW54" s="335"/>
      <c r="HX54" s="335"/>
      <c r="HY54" s="335"/>
      <c r="HZ54" s="335"/>
      <c r="IA54" s="335"/>
      <c r="IB54" s="335"/>
      <c r="IC54" s="335"/>
      <c r="ID54" s="335"/>
      <c r="IE54" s="335"/>
      <c r="IF54" s="335"/>
      <c r="IG54" s="335"/>
      <c r="IH54" s="335"/>
      <c r="II54" s="335"/>
      <c r="IJ54" s="335"/>
      <c r="IK54" s="335"/>
      <c r="IL54" s="335"/>
      <c r="IM54" s="335"/>
      <c r="IN54" s="335"/>
      <c r="IO54" s="335"/>
      <c r="IP54" s="335"/>
      <c r="IQ54" s="335"/>
      <c r="IR54" s="335"/>
      <c r="IS54" s="335"/>
    </row>
    <row r="55" spans="1:253" x14ac:dyDescent="0.2">
      <c r="A55" s="335"/>
      <c r="B55" s="335"/>
      <c r="C55" s="335"/>
      <c r="D55" s="335"/>
      <c r="F55" s="335"/>
      <c r="G55" s="335"/>
      <c r="H55" s="335"/>
      <c r="I55" s="335"/>
      <c r="J55" s="335"/>
      <c r="K55" s="335"/>
      <c r="L55" s="335"/>
      <c r="M55" s="335"/>
      <c r="N55" s="335"/>
      <c r="O55" s="434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335"/>
      <c r="BF55" s="335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335"/>
      <c r="BU55" s="335"/>
      <c r="BV55" s="335"/>
      <c r="BW55" s="335"/>
      <c r="BX55" s="335"/>
      <c r="BY55" s="335"/>
      <c r="BZ55" s="335"/>
      <c r="CA55" s="335"/>
      <c r="CB55" s="335"/>
      <c r="CC55" s="335"/>
      <c r="CD55" s="335"/>
      <c r="CE55" s="335"/>
      <c r="CF55" s="335"/>
      <c r="CG55" s="335"/>
      <c r="CH55" s="335"/>
      <c r="CI55" s="335"/>
      <c r="CJ55" s="335"/>
      <c r="CK55" s="335"/>
      <c r="CL55" s="335"/>
      <c r="CM55" s="335"/>
      <c r="CN55" s="335"/>
      <c r="CO55" s="335"/>
      <c r="CP55" s="335"/>
      <c r="CQ55" s="335"/>
      <c r="CR55" s="335"/>
      <c r="CS55" s="335"/>
      <c r="CT55" s="335"/>
      <c r="CU55" s="335"/>
      <c r="CV55" s="335"/>
      <c r="CW55" s="335"/>
      <c r="CX55" s="335"/>
      <c r="CY55" s="335"/>
      <c r="CZ55" s="335"/>
      <c r="DA55" s="335"/>
      <c r="DB55" s="335"/>
      <c r="DC55" s="335"/>
      <c r="DD55" s="335"/>
      <c r="DE55" s="335"/>
      <c r="DF55" s="335"/>
      <c r="DG55" s="335"/>
      <c r="DH55" s="335"/>
      <c r="DI55" s="335"/>
      <c r="DJ55" s="335"/>
      <c r="DK55" s="335"/>
      <c r="DL55" s="335"/>
      <c r="DM55" s="335"/>
      <c r="DN55" s="335"/>
      <c r="DO55" s="335"/>
      <c r="DP55" s="335"/>
      <c r="DQ55" s="335"/>
      <c r="DR55" s="335"/>
      <c r="DS55" s="335"/>
      <c r="DT55" s="335"/>
      <c r="DU55" s="335"/>
      <c r="DV55" s="335"/>
      <c r="DW55" s="335"/>
      <c r="DX55" s="335"/>
      <c r="DY55" s="335"/>
      <c r="DZ55" s="335"/>
      <c r="EA55" s="335"/>
      <c r="EB55" s="335"/>
      <c r="EC55" s="335"/>
      <c r="ED55" s="335"/>
      <c r="EE55" s="335"/>
      <c r="EF55" s="335"/>
      <c r="EG55" s="335"/>
      <c r="EH55" s="335"/>
      <c r="EI55" s="335"/>
      <c r="EJ55" s="335"/>
      <c r="EK55" s="335"/>
      <c r="EL55" s="335"/>
      <c r="EM55" s="335"/>
      <c r="EN55" s="335"/>
      <c r="EO55" s="335"/>
      <c r="EP55" s="335"/>
      <c r="EQ55" s="335"/>
      <c r="ER55" s="335"/>
      <c r="ES55" s="335"/>
      <c r="ET55" s="335"/>
      <c r="EU55" s="335"/>
      <c r="EV55" s="335"/>
      <c r="EW55" s="335"/>
      <c r="EX55" s="335"/>
      <c r="EY55" s="335"/>
      <c r="EZ55" s="335"/>
      <c r="FA55" s="335"/>
      <c r="FB55" s="335"/>
      <c r="FC55" s="335"/>
      <c r="FD55" s="335"/>
      <c r="FE55" s="335"/>
      <c r="FF55" s="335"/>
      <c r="FG55" s="335"/>
      <c r="FH55" s="335"/>
      <c r="FI55" s="335"/>
      <c r="FJ55" s="335"/>
      <c r="FK55" s="335"/>
      <c r="FL55" s="335"/>
      <c r="FM55" s="335"/>
      <c r="FN55" s="335"/>
      <c r="FO55" s="335"/>
      <c r="FP55" s="335"/>
      <c r="FQ55" s="335"/>
      <c r="FR55" s="335"/>
      <c r="FS55" s="335"/>
      <c r="FT55" s="335"/>
      <c r="FU55" s="335"/>
      <c r="FV55" s="335"/>
      <c r="FW55" s="335"/>
      <c r="FX55" s="335"/>
      <c r="FY55" s="335"/>
      <c r="FZ55" s="335"/>
      <c r="GA55" s="335"/>
      <c r="GB55" s="335"/>
      <c r="GC55" s="335"/>
      <c r="GD55" s="335"/>
      <c r="GE55" s="335"/>
      <c r="GF55" s="335"/>
      <c r="GG55" s="335"/>
      <c r="GH55" s="335"/>
      <c r="GI55" s="335"/>
      <c r="GJ55" s="335"/>
      <c r="GK55" s="335"/>
      <c r="GL55" s="335"/>
      <c r="GM55" s="335"/>
      <c r="GN55" s="335"/>
      <c r="GO55" s="335"/>
      <c r="GP55" s="335"/>
      <c r="GQ55" s="335"/>
      <c r="GR55" s="335"/>
      <c r="GS55" s="335"/>
      <c r="GT55" s="335"/>
      <c r="GU55" s="335"/>
      <c r="GV55" s="335"/>
      <c r="GW55" s="335"/>
      <c r="GX55" s="335"/>
      <c r="GY55" s="335"/>
      <c r="GZ55" s="335"/>
      <c r="HA55" s="335"/>
      <c r="HB55" s="335"/>
      <c r="HC55" s="335"/>
      <c r="HD55" s="335"/>
      <c r="HE55" s="335"/>
      <c r="HF55" s="335"/>
      <c r="HG55" s="335"/>
      <c r="HH55" s="335"/>
      <c r="HI55" s="335"/>
      <c r="HJ55" s="335"/>
      <c r="HK55" s="335"/>
      <c r="HL55" s="335"/>
      <c r="HM55" s="335"/>
      <c r="HN55" s="335"/>
      <c r="HO55" s="335"/>
      <c r="HP55" s="335"/>
      <c r="HQ55" s="335"/>
      <c r="HR55" s="335"/>
      <c r="HS55" s="335"/>
      <c r="HT55" s="335"/>
      <c r="HU55" s="335"/>
      <c r="HV55" s="335"/>
      <c r="HW55" s="335"/>
      <c r="HX55" s="335"/>
      <c r="HY55" s="335"/>
      <c r="HZ55" s="335"/>
      <c r="IA55" s="335"/>
      <c r="IB55" s="335"/>
      <c r="IC55" s="335"/>
      <c r="ID55" s="335"/>
      <c r="IE55" s="335"/>
      <c r="IF55" s="335"/>
      <c r="IG55" s="335"/>
      <c r="IH55" s="335"/>
      <c r="II55" s="335"/>
      <c r="IJ55" s="335"/>
      <c r="IK55" s="335"/>
      <c r="IL55" s="335"/>
      <c r="IM55" s="335"/>
      <c r="IN55" s="335"/>
      <c r="IO55" s="335"/>
      <c r="IP55" s="335"/>
      <c r="IQ55" s="335"/>
      <c r="IR55" s="335"/>
      <c r="IS55" s="335"/>
    </row>
    <row r="56" spans="1:253" x14ac:dyDescent="0.2">
      <c r="A56" s="335"/>
      <c r="C56" s="335"/>
      <c r="D56" s="335"/>
      <c r="F56" s="335"/>
      <c r="G56" s="335"/>
      <c r="H56" s="335"/>
      <c r="I56" s="335"/>
      <c r="J56" s="335"/>
      <c r="K56" s="335"/>
      <c r="L56" s="335"/>
      <c r="M56" s="335"/>
      <c r="N56" s="335"/>
      <c r="O56" s="434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/>
      <c r="BC56" s="335"/>
      <c r="BD56" s="335"/>
      <c r="BE56" s="335"/>
      <c r="BF56" s="335"/>
      <c r="BG56" s="335"/>
      <c r="BH56" s="335"/>
      <c r="BI56" s="335"/>
      <c r="BJ56" s="335"/>
      <c r="BK56" s="335"/>
      <c r="BL56" s="335"/>
      <c r="BM56" s="335"/>
      <c r="BN56" s="335"/>
      <c r="BO56" s="335"/>
      <c r="BP56" s="335"/>
      <c r="BQ56" s="335"/>
      <c r="BR56" s="335"/>
      <c r="BS56" s="335"/>
      <c r="BT56" s="335"/>
      <c r="BU56" s="335"/>
      <c r="BV56" s="335"/>
      <c r="BW56" s="335"/>
      <c r="BX56" s="335"/>
      <c r="BY56" s="335"/>
      <c r="BZ56" s="335"/>
      <c r="CA56" s="335"/>
      <c r="CB56" s="335"/>
      <c r="CC56" s="335"/>
      <c r="CD56" s="335"/>
      <c r="CE56" s="335"/>
      <c r="CF56" s="335"/>
      <c r="CG56" s="335"/>
      <c r="CH56" s="335"/>
      <c r="CI56" s="335"/>
      <c r="CJ56" s="335"/>
      <c r="CK56" s="335"/>
      <c r="CL56" s="335"/>
      <c r="CM56" s="335"/>
      <c r="CN56" s="335"/>
      <c r="CO56" s="335"/>
      <c r="CP56" s="335"/>
      <c r="CQ56" s="335"/>
      <c r="CR56" s="335"/>
      <c r="CS56" s="335"/>
      <c r="CT56" s="335"/>
      <c r="CU56" s="335"/>
      <c r="CV56" s="335"/>
      <c r="CW56" s="335"/>
      <c r="CX56" s="335"/>
      <c r="CY56" s="335"/>
      <c r="CZ56" s="335"/>
      <c r="DA56" s="335"/>
      <c r="DB56" s="335"/>
      <c r="DC56" s="335"/>
      <c r="DD56" s="335"/>
      <c r="DE56" s="335"/>
      <c r="DF56" s="335"/>
      <c r="DG56" s="335"/>
      <c r="DH56" s="335"/>
      <c r="DI56" s="335"/>
      <c r="DJ56" s="335"/>
      <c r="DK56" s="335"/>
      <c r="DL56" s="335"/>
      <c r="DM56" s="335"/>
      <c r="DN56" s="335"/>
      <c r="DO56" s="335"/>
      <c r="DP56" s="335"/>
      <c r="DQ56" s="335"/>
      <c r="DR56" s="335"/>
      <c r="DS56" s="335"/>
      <c r="DT56" s="335"/>
      <c r="DU56" s="335"/>
      <c r="DV56" s="335"/>
      <c r="DW56" s="335"/>
      <c r="DX56" s="335"/>
      <c r="DY56" s="335"/>
      <c r="DZ56" s="335"/>
      <c r="EA56" s="335"/>
      <c r="EB56" s="335"/>
      <c r="EC56" s="335"/>
      <c r="ED56" s="335"/>
      <c r="EE56" s="335"/>
      <c r="EF56" s="335"/>
      <c r="EG56" s="335"/>
      <c r="EH56" s="335"/>
      <c r="EI56" s="335"/>
      <c r="EJ56" s="335"/>
      <c r="EK56" s="335"/>
      <c r="EL56" s="335"/>
      <c r="EM56" s="335"/>
      <c r="EN56" s="335"/>
      <c r="EO56" s="335"/>
      <c r="EP56" s="335"/>
      <c r="EQ56" s="335"/>
      <c r="ER56" s="335"/>
      <c r="ES56" s="335"/>
      <c r="ET56" s="335"/>
      <c r="EU56" s="335"/>
      <c r="EV56" s="335"/>
      <c r="EW56" s="335"/>
      <c r="EX56" s="335"/>
      <c r="EY56" s="335"/>
      <c r="EZ56" s="335"/>
      <c r="FA56" s="335"/>
      <c r="FB56" s="335"/>
      <c r="FC56" s="335"/>
      <c r="FD56" s="335"/>
      <c r="FE56" s="335"/>
      <c r="FF56" s="335"/>
      <c r="FG56" s="335"/>
      <c r="FH56" s="335"/>
      <c r="FI56" s="335"/>
      <c r="FJ56" s="335"/>
      <c r="FK56" s="335"/>
      <c r="FL56" s="335"/>
      <c r="FM56" s="335"/>
      <c r="FN56" s="335"/>
      <c r="FO56" s="335"/>
      <c r="FP56" s="335"/>
      <c r="FQ56" s="335"/>
      <c r="FR56" s="335"/>
      <c r="FS56" s="335"/>
      <c r="FT56" s="335"/>
      <c r="FU56" s="335"/>
      <c r="FV56" s="335"/>
      <c r="FW56" s="335"/>
      <c r="FX56" s="335"/>
      <c r="FY56" s="335"/>
      <c r="FZ56" s="335"/>
      <c r="GA56" s="335"/>
      <c r="GB56" s="335"/>
      <c r="GC56" s="335"/>
      <c r="GD56" s="335"/>
      <c r="GE56" s="335"/>
      <c r="GF56" s="335"/>
      <c r="GG56" s="335"/>
      <c r="GH56" s="335"/>
      <c r="GI56" s="335"/>
      <c r="GJ56" s="335"/>
      <c r="GK56" s="335"/>
      <c r="GL56" s="335"/>
      <c r="GM56" s="335"/>
      <c r="GN56" s="335"/>
      <c r="GO56" s="335"/>
      <c r="GP56" s="335"/>
      <c r="GQ56" s="335"/>
      <c r="GR56" s="335"/>
      <c r="GS56" s="335"/>
      <c r="GT56" s="335"/>
      <c r="GU56" s="335"/>
      <c r="GV56" s="335"/>
      <c r="GW56" s="335"/>
      <c r="GX56" s="335"/>
      <c r="GY56" s="335"/>
      <c r="GZ56" s="335"/>
      <c r="HA56" s="335"/>
      <c r="HB56" s="335"/>
      <c r="HC56" s="335"/>
      <c r="HD56" s="335"/>
      <c r="HE56" s="335"/>
      <c r="HF56" s="335"/>
      <c r="HG56" s="335"/>
      <c r="HH56" s="335"/>
      <c r="HI56" s="335"/>
      <c r="HJ56" s="335"/>
      <c r="HK56" s="335"/>
      <c r="HL56" s="335"/>
      <c r="HM56" s="335"/>
      <c r="HN56" s="335"/>
      <c r="HO56" s="335"/>
      <c r="HP56" s="335"/>
      <c r="HQ56" s="335"/>
      <c r="HR56" s="335"/>
      <c r="HS56" s="335"/>
      <c r="HT56" s="335"/>
      <c r="HU56" s="335"/>
      <c r="HV56" s="335"/>
      <c r="HW56" s="335"/>
      <c r="HX56" s="335"/>
      <c r="HY56" s="335"/>
      <c r="HZ56" s="335"/>
      <c r="IA56" s="335"/>
      <c r="IB56" s="335"/>
      <c r="IC56" s="335"/>
      <c r="ID56" s="335"/>
      <c r="IE56" s="335"/>
      <c r="IF56" s="335"/>
      <c r="IG56" s="335"/>
      <c r="IH56" s="335"/>
      <c r="II56" s="335"/>
      <c r="IJ56" s="335"/>
      <c r="IK56" s="335"/>
      <c r="IL56" s="335"/>
      <c r="IM56" s="335"/>
      <c r="IN56" s="335"/>
      <c r="IO56" s="335"/>
      <c r="IP56" s="335"/>
      <c r="IQ56" s="335"/>
      <c r="IR56" s="335"/>
      <c r="IS56" s="335"/>
    </row>
    <row r="57" spans="1:253" x14ac:dyDescent="0.2">
      <c r="A57" s="335"/>
      <c r="C57" s="465" t="str">
        <f>C7</f>
        <v>Sirajudin, S.Pd</v>
      </c>
      <c r="D57" s="335"/>
      <c r="E57" s="335"/>
      <c r="F57" s="335"/>
      <c r="G57" s="335"/>
      <c r="H57" s="335"/>
      <c r="I57" s="465" t="str">
        <f>I7</f>
        <v>Drs. Busyroni Majid, M.Si</v>
      </c>
      <c r="J57" s="335"/>
      <c r="K57" s="335"/>
      <c r="L57" s="335"/>
      <c r="M57" s="335"/>
      <c r="N57" s="335"/>
      <c r="O57" s="434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/>
      <c r="BC57" s="335"/>
      <c r="BD57" s="335"/>
      <c r="BE57" s="335"/>
      <c r="BF57" s="335"/>
      <c r="BG57" s="335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335"/>
      <c r="BU57" s="335"/>
      <c r="BV57" s="335"/>
      <c r="BW57" s="335"/>
      <c r="BX57" s="335"/>
      <c r="BY57" s="335"/>
      <c r="BZ57" s="335"/>
      <c r="CA57" s="335"/>
      <c r="CB57" s="335"/>
      <c r="CC57" s="335"/>
      <c r="CD57" s="335"/>
      <c r="CE57" s="335"/>
      <c r="CF57" s="335"/>
      <c r="CG57" s="335"/>
      <c r="CH57" s="335"/>
      <c r="CI57" s="335"/>
      <c r="CJ57" s="335"/>
      <c r="CK57" s="335"/>
      <c r="CL57" s="335"/>
      <c r="CM57" s="335"/>
      <c r="CN57" s="335"/>
      <c r="CO57" s="335"/>
      <c r="CP57" s="335"/>
      <c r="CQ57" s="335"/>
      <c r="CR57" s="335"/>
      <c r="CS57" s="335"/>
      <c r="CT57" s="335"/>
      <c r="CU57" s="335"/>
      <c r="CV57" s="335"/>
      <c r="CW57" s="335"/>
      <c r="CX57" s="335"/>
      <c r="CY57" s="335"/>
      <c r="CZ57" s="335"/>
      <c r="DA57" s="335"/>
      <c r="DB57" s="335"/>
      <c r="DC57" s="335"/>
      <c r="DD57" s="335"/>
      <c r="DE57" s="335"/>
      <c r="DF57" s="335"/>
      <c r="DG57" s="335"/>
      <c r="DH57" s="335"/>
      <c r="DI57" s="335"/>
      <c r="DJ57" s="335"/>
      <c r="DK57" s="335"/>
      <c r="DL57" s="335"/>
      <c r="DM57" s="335"/>
      <c r="DN57" s="335"/>
      <c r="DO57" s="335"/>
      <c r="DP57" s="335"/>
      <c r="DQ57" s="335"/>
      <c r="DR57" s="335"/>
      <c r="DS57" s="335"/>
      <c r="DT57" s="335"/>
      <c r="DU57" s="335"/>
      <c r="DV57" s="335"/>
      <c r="DW57" s="335"/>
      <c r="DX57" s="335"/>
      <c r="DY57" s="335"/>
      <c r="DZ57" s="335"/>
      <c r="EA57" s="335"/>
      <c r="EB57" s="335"/>
      <c r="EC57" s="335"/>
      <c r="ED57" s="335"/>
      <c r="EE57" s="335"/>
      <c r="EF57" s="335"/>
      <c r="EG57" s="335"/>
      <c r="EH57" s="335"/>
      <c r="EI57" s="335"/>
      <c r="EJ57" s="335"/>
      <c r="EK57" s="335"/>
      <c r="EL57" s="335"/>
      <c r="EM57" s="335"/>
      <c r="EN57" s="335"/>
      <c r="EO57" s="335"/>
      <c r="EP57" s="335"/>
      <c r="EQ57" s="335"/>
      <c r="ER57" s="335"/>
      <c r="ES57" s="335"/>
      <c r="ET57" s="335"/>
      <c r="EU57" s="335"/>
      <c r="EV57" s="335"/>
      <c r="EW57" s="335"/>
      <c r="EX57" s="335"/>
      <c r="EY57" s="335"/>
      <c r="EZ57" s="335"/>
      <c r="FA57" s="335"/>
      <c r="FB57" s="335"/>
      <c r="FC57" s="335"/>
      <c r="FD57" s="335"/>
      <c r="FE57" s="335"/>
      <c r="FF57" s="335"/>
      <c r="FG57" s="335"/>
      <c r="FH57" s="335"/>
      <c r="FI57" s="335"/>
      <c r="FJ57" s="335"/>
      <c r="FK57" s="335"/>
      <c r="FL57" s="335"/>
      <c r="FM57" s="335"/>
      <c r="FN57" s="335"/>
      <c r="FO57" s="335"/>
      <c r="FP57" s="335"/>
      <c r="FQ57" s="335"/>
      <c r="FR57" s="335"/>
      <c r="FS57" s="335"/>
      <c r="FT57" s="335"/>
      <c r="FU57" s="335"/>
      <c r="FV57" s="335"/>
      <c r="FW57" s="335"/>
      <c r="FX57" s="335"/>
      <c r="FY57" s="335"/>
      <c r="FZ57" s="335"/>
      <c r="GA57" s="335"/>
      <c r="GB57" s="335"/>
      <c r="GC57" s="335"/>
      <c r="GD57" s="335"/>
      <c r="GE57" s="335"/>
      <c r="GF57" s="335"/>
      <c r="GG57" s="335"/>
      <c r="GH57" s="335"/>
      <c r="GI57" s="335"/>
      <c r="GJ57" s="335"/>
      <c r="GK57" s="335"/>
      <c r="GL57" s="335"/>
      <c r="GM57" s="335"/>
      <c r="GN57" s="335"/>
      <c r="GO57" s="335"/>
      <c r="GP57" s="335"/>
      <c r="GQ57" s="335"/>
      <c r="GR57" s="335"/>
      <c r="GS57" s="335"/>
      <c r="GT57" s="335"/>
      <c r="GU57" s="335"/>
      <c r="GV57" s="335"/>
      <c r="GW57" s="335"/>
      <c r="GX57" s="335"/>
      <c r="GY57" s="335"/>
      <c r="GZ57" s="335"/>
      <c r="HA57" s="335"/>
      <c r="HB57" s="335"/>
      <c r="HC57" s="335"/>
      <c r="HD57" s="335"/>
      <c r="HE57" s="335"/>
      <c r="HF57" s="335"/>
      <c r="HG57" s="335"/>
      <c r="HH57" s="335"/>
      <c r="HI57" s="335"/>
      <c r="HJ57" s="335"/>
      <c r="HK57" s="335"/>
      <c r="HL57" s="335"/>
      <c r="HM57" s="335"/>
      <c r="HN57" s="335"/>
      <c r="HO57" s="335"/>
      <c r="HP57" s="335"/>
      <c r="HQ57" s="335"/>
      <c r="HR57" s="335"/>
      <c r="HS57" s="335"/>
      <c r="HT57" s="335"/>
      <c r="HU57" s="335"/>
      <c r="HV57" s="335"/>
      <c r="HW57" s="335"/>
      <c r="HX57" s="335"/>
      <c r="HY57" s="335"/>
      <c r="HZ57" s="335"/>
      <c r="IA57" s="335"/>
      <c r="IB57" s="335"/>
      <c r="IC57" s="335"/>
      <c r="ID57" s="335"/>
      <c r="IE57" s="335"/>
      <c r="IF57" s="335"/>
      <c r="IG57" s="335"/>
      <c r="IH57" s="335"/>
      <c r="II57" s="335"/>
      <c r="IJ57" s="335"/>
      <c r="IK57" s="335"/>
      <c r="IL57" s="335"/>
      <c r="IM57" s="335"/>
      <c r="IN57" s="335"/>
      <c r="IO57" s="335"/>
      <c r="IP57" s="335"/>
      <c r="IQ57" s="335"/>
      <c r="IR57" s="335"/>
      <c r="IS57" s="335"/>
    </row>
    <row r="58" spans="1:253" x14ac:dyDescent="0.2">
      <c r="C58" s="423" t="str">
        <f>"NIP. "&amp;C8</f>
        <v>NIP. 19730115 200710 1 001</v>
      </c>
      <c r="F58" s="423"/>
      <c r="G58" s="423"/>
      <c r="I58" s="423" t="str">
        <f>"NIP. "&amp;I8</f>
        <v>NIP. 19690921 199503 1 001</v>
      </c>
    </row>
    <row r="59" spans="1:253" x14ac:dyDescent="0.2">
      <c r="F59" s="423"/>
      <c r="G59" s="423"/>
    </row>
    <row r="60" spans="1:253" x14ac:dyDescent="0.2">
      <c r="F60" s="423"/>
      <c r="G60" s="423"/>
    </row>
    <row r="61" spans="1:253" x14ac:dyDescent="0.2">
      <c r="F61" s="423"/>
      <c r="G61" s="423"/>
      <c r="O61" s="434"/>
      <c r="P61" s="335"/>
      <c r="Q61" s="335"/>
    </row>
    <row r="62" spans="1:253" x14ac:dyDescent="0.2">
      <c r="O62" s="429"/>
      <c r="P62" s="431"/>
      <c r="Q62" s="335"/>
    </row>
    <row r="63" spans="1:253" x14ac:dyDescent="0.2">
      <c r="O63" s="429"/>
      <c r="P63" s="425"/>
      <c r="Q63" s="335"/>
    </row>
    <row r="64" spans="1:253" x14ac:dyDescent="0.2">
      <c r="O64" s="429"/>
      <c r="P64" s="425"/>
    </row>
    <row r="67" spans="16:16" x14ac:dyDescent="0.2">
      <c r="P67" s="425"/>
    </row>
    <row r="68" spans="16:16" x14ac:dyDescent="0.2">
      <c r="P68" s="425"/>
    </row>
    <row r="69" spans="16:16" x14ac:dyDescent="0.2">
      <c r="P69" s="425"/>
    </row>
    <row r="70" spans="16:16" x14ac:dyDescent="0.2">
      <c r="P70" s="425"/>
    </row>
    <row r="71" spans="16:16" x14ac:dyDescent="0.2">
      <c r="P71" s="425"/>
    </row>
    <row r="72" spans="16:16" x14ac:dyDescent="0.2">
      <c r="P72" s="425"/>
    </row>
  </sheetData>
  <sheetProtection algorithmName="SHA-512" hashValue="aR9Nazf5qlMgPCbzCWB2h4sGE7xaLNCeJEDnybdQDmdvUp1ALjH90yWwfzcsSisNCKo4LfW+GQVd/akN+WWV2g==" saltValue="iEsEgHiByicUqPA+pZv6nA==" spinCount="100000" sheet="1" formatCells="0" formatColumns="0" formatRows="0" insertColumns="0" insertRows="0" deleteColumns="0" deleteRows="0"/>
  <mergeCells count="43">
    <mergeCell ref="C29:C31"/>
    <mergeCell ref="B47:B49"/>
    <mergeCell ref="C47:C49"/>
    <mergeCell ref="A50:C50"/>
    <mergeCell ref="C35:C37"/>
    <mergeCell ref="B38:B40"/>
    <mergeCell ref="C38:C40"/>
    <mergeCell ref="B41:B43"/>
    <mergeCell ref="C41:C43"/>
    <mergeCell ref="B44:B46"/>
    <mergeCell ref="C44:C46"/>
    <mergeCell ref="H12:H13"/>
    <mergeCell ref="I12:I13"/>
    <mergeCell ref="J12:J13"/>
    <mergeCell ref="C32:C34"/>
    <mergeCell ref="F14:G14"/>
    <mergeCell ref="A15:L15"/>
    <mergeCell ref="A16:A18"/>
    <mergeCell ref="B16:B18"/>
    <mergeCell ref="C16:C18"/>
    <mergeCell ref="A19:A21"/>
    <mergeCell ref="B19:B21"/>
    <mergeCell ref="C19:C21"/>
    <mergeCell ref="C22:C24"/>
    <mergeCell ref="A25:M25"/>
    <mergeCell ref="A26:A29"/>
    <mergeCell ref="C26:C28"/>
    <mergeCell ref="A8:B8"/>
    <mergeCell ref="D12:D13"/>
    <mergeCell ref="A1:M1"/>
    <mergeCell ref="D5:G5"/>
    <mergeCell ref="A6:E6"/>
    <mergeCell ref="F6:M6"/>
    <mergeCell ref="A7:B7"/>
    <mergeCell ref="K12:M12"/>
    <mergeCell ref="A9:B9"/>
    <mergeCell ref="A10:B10"/>
    <mergeCell ref="A11:B11"/>
    <mergeCell ref="A12:A13"/>
    <mergeCell ref="B12:B13"/>
    <mergeCell ref="C12:C13"/>
    <mergeCell ref="E12:E13"/>
    <mergeCell ref="F12:G13"/>
  </mergeCells>
  <pageMargins left="0.55118110236220474" right="0.19685039370078741" top="0.53" bottom="0.51181102362204722" header="0.31496062992125984" footer="0.31496062992125984"/>
  <pageSetup paperSize="9" scale="7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H52"/>
  <sheetViews>
    <sheetView topLeftCell="A16" workbookViewId="0">
      <selection activeCell="D34" sqref="D34"/>
    </sheetView>
  </sheetViews>
  <sheetFormatPr defaultColWidth="0" defaultRowHeight="14.25" zeroHeight="1" x14ac:dyDescent="0.2"/>
  <cols>
    <col min="1" max="1" width="3" style="649" customWidth="1"/>
    <col min="2" max="2" width="32.7109375" style="649" customWidth="1"/>
    <col min="3" max="3" width="1.85546875" style="649" customWidth="1"/>
    <col min="4" max="4" width="59.42578125" style="649" customWidth="1"/>
    <col min="5" max="8" width="9.140625" style="649" customWidth="1"/>
    <col min="9" max="16384" width="9.140625" style="649" hidden="1"/>
  </cols>
  <sheetData>
    <row r="1" spans="1:4" ht="18" x14ac:dyDescent="0.2">
      <c r="A1" s="1459" t="s">
        <v>534</v>
      </c>
      <c r="B1" s="1459"/>
      <c r="C1" s="1459"/>
      <c r="D1" s="1459"/>
    </row>
    <row r="2" spans="1:4" x14ac:dyDescent="0.2">
      <c r="A2" s="650"/>
      <c r="B2" s="650"/>
      <c r="C2" s="650"/>
      <c r="D2" s="650"/>
    </row>
    <row r="3" spans="1:4" ht="15" x14ac:dyDescent="0.2">
      <c r="A3" s="1460" t="s">
        <v>55</v>
      </c>
      <c r="B3" s="1460"/>
      <c r="C3" s="651" t="s">
        <v>16</v>
      </c>
      <c r="D3" s="651" t="str">
        <f>'DATA SKP2'!F3</f>
        <v>MTs Negeri 5 Sleman</v>
      </c>
    </row>
    <row r="4" spans="1:4" ht="15" x14ac:dyDescent="0.2">
      <c r="A4" s="1460" t="s">
        <v>37</v>
      </c>
      <c r="B4" s="1460"/>
      <c r="C4" s="651" t="s">
        <v>16</v>
      </c>
      <c r="D4" s="651" t="str">
        <f>PERIODE!E12</f>
        <v>01 Juli s.d. 31 Desember 2021</v>
      </c>
    </row>
    <row r="5" spans="1:4" x14ac:dyDescent="0.2">
      <c r="A5" s="650"/>
      <c r="B5" s="650"/>
      <c r="C5" s="650"/>
      <c r="D5" s="650"/>
    </row>
    <row r="6" spans="1:4" ht="15" x14ac:dyDescent="0.2">
      <c r="A6" s="1458">
        <v>1</v>
      </c>
      <c r="B6" s="1461" t="s">
        <v>85</v>
      </c>
      <c r="C6" s="1461"/>
      <c r="D6" s="1461"/>
    </row>
    <row r="7" spans="1:4" ht="14.25" customHeight="1" x14ac:dyDescent="0.2">
      <c r="A7" s="1458"/>
      <c r="B7" s="652" t="s">
        <v>535</v>
      </c>
      <c r="C7" s="653" t="s">
        <v>16</v>
      </c>
      <c r="D7" s="652" t="str">
        <f>'DATA SKP2'!F6</f>
        <v>Sirajudin, S.Pd</v>
      </c>
    </row>
    <row r="8" spans="1:4" ht="14.25" customHeight="1" x14ac:dyDescent="0.2">
      <c r="A8" s="1458"/>
      <c r="B8" s="652" t="s">
        <v>3</v>
      </c>
      <c r="C8" s="653" t="s">
        <v>16</v>
      </c>
      <c r="D8" s="652" t="str">
        <f>'DATA SKP2'!F7</f>
        <v>19730115 200710 1 001</v>
      </c>
    </row>
    <row r="9" spans="1:4" ht="14.25" customHeight="1" x14ac:dyDescent="0.2">
      <c r="A9" s="1458"/>
      <c r="B9" s="652" t="s">
        <v>536</v>
      </c>
      <c r="C9" s="653" t="s">
        <v>16</v>
      </c>
      <c r="D9" s="652" t="str">
        <f>'DATA SKP2'!F8</f>
        <v>Penata Muda, Gol. III/a</v>
      </c>
    </row>
    <row r="10" spans="1:4" ht="14.25" customHeight="1" x14ac:dyDescent="0.2">
      <c r="A10" s="1458"/>
      <c r="B10" s="652" t="s">
        <v>537</v>
      </c>
      <c r="C10" s="653" t="s">
        <v>16</v>
      </c>
      <c r="D10" s="652" t="str">
        <f>'DATA SKP2'!F9</f>
        <v>Guru Pertama</v>
      </c>
    </row>
    <row r="11" spans="1:4" ht="14.25" customHeight="1" x14ac:dyDescent="0.2">
      <c r="A11" s="1458"/>
      <c r="B11" s="652" t="s">
        <v>55</v>
      </c>
      <c r="C11" s="653" t="s">
        <v>16</v>
      </c>
      <c r="D11" s="652" t="str">
        <f>'DATA SKP2'!F10</f>
        <v>MTs Negeri 5 Sleman</v>
      </c>
    </row>
    <row r="12" spans="1:4" ht="14.25" customHeight="1" x14ac:dyDescent="0.2">
      <c r="A12" s="1458"/>
      <c r="B12" s="1458"/>
      <c r="C12" s="1458"/>
      <c r="D12" s="1458"/>
    </row>
    <row r="13" spans="1:4" ht="15" x14ac:dyDescent="0.2">
      <c r="A13" s="1458">
        <v>2</v>
      </c>
      <c r="B13" s="1461" t="s">
        <v>86</v>
      </c>
      <c r="C13" s="1461"/>
      <c r="D13" s="1461"/>
    </row>
    <row r="14" spans="1:4" x14ac:dyDescent="0.2">
      <c r="A14" s="1458"/>
      <c r="B14" s="652" t="s">
        <v>535</v>
      </c>
      <c r="C14" s="653" t="s">
        <v>16</v>
      </c>
      <c r="D14" s="652" t="str">
        <f>'DATA SKP2'!F12</f>
        <v>Drs. Busyroni Majid, M.Si</v>
      </c>
    </row>
    <row r="15" spans="1:4" x14ac:dyDescent="0.2">
      <c r="A15" s="1458"/>
      <c r="B15" s="652" t="s">
        <v>3</v>
      </c>
      <c r="C15" s="653" t="s">
        <v>16</v>
      </c>
      <c r="D15" s="652" t="str">
        <f>'DATA SKP2'!F13</f>
        <v>19690921 199503 1 001</v>
      </c>
    </row>
    <row r="16" spans="1:4" x14ac:dyDescent="0.2">
      <c r="A16" s="1458"/>
      <c r="B16" s="652" t="s">
        <v>536</v>
      </c>
      <c r="C16" s="653" t="s">
        <v>16</v>
      </c>
      <c r="D16" s="652" t="str">
        <f>'DATA SKP2'!F14</f>
        <v>Pembina, Gol. IV/a</v>
      </c>
    </row>
    <row r="17" spans="1:5" x14ac:dyDescent="0.2">
      <c r="A17" s="1458"/>
      <c r="B17" s="652" t="s">
        <v>537</v>
      </c>
      <c r="C17" s="653" t="s">
        <v>16</v>
      </c>
      <c r="D17" s="652" t="str">
        <f>'DATA SKP2'!F15</f>
        <v>Guru Madya</v>
      </c>
    </row>
    <row r="18" spans="1:5" x14ac:dyDescent="0.2">
      <c r="A18" s="1458"/>
      <c r="B18" s="652" t="s">
        <v>55</v>
      </c>
      <c r="C18" s="653" t="s">
        <v>16</v>
      </c>
      <c r="D18" s="652" t="str">
        <f>'DATA SKP2'!F16</f>
        <v>MTs Negeri 5 Sleman</v>
      </c>
    </row>
    <row r="19" spans="1:5" x14ac:dyDescent="0.2">
      <c r="A19" s="1458"/>
      <c r="B19" s="1458"/>
      <c r="C19" s="1458"/>
      <c r="D19" s="1458"/>
    </row>
    <row r="20" spans="1:5" ht="15" x14ac:dyDescent="0.2">
      <c r="A20" s="1458">
        <v>3</v>
      </c>
      <c r="B20" s="1461" t="s">
        <v>538</v>
      </c>
      <c r="C20" s="1461"/>
      <c r="D20" s="1461"/>
    </row>
    <row r="21" spans="1:5" x14ac:dyDescent="0.2">
      <c r="A21" s="1458"/>
      <c r="B21" s="652" t="s">
        <v>535</v>
      </c>
      <c r="C21" s="653" t="s">
        <v>16</v>
      </c>
      <c r="D21" s="652" t="str">
        <f>'DATA SKP2'!F18</f>
        <v>H. Sidik Pramono, S.Ag, M.Si</v>
      </c>
    </row>
    <row r="22" spans="1:5" x14ac:dyDescent="0.2">
      <c r="A22" s="1458"/>
      <c r="B22" s="652" t="s">
        <v>3</v>
      </c>
      <c r="C22" s="653" t="s">
        <v>16</v>
      </c>
      <c r="D22" s="652" t="str">
        <f>'DATA SKP2'!F19</f>
        <v>19700303 199703 1 004</v>
      </c>
    </row>
    <row r="23" spans="1:5" x14ac:dyDescent="0.2">
      <c r="A23" s="1458"/>
      <c r="B23" s="652" t="s">
        <v>536</v>
      </c>
      <c r="C23" s="653" t="s">
        <v>16</v>
      </c>
      <c r="D23" s="652" t="str">
        <f>'DATA SKP2'!F20</f>
        <v>Pembina / IVa</v>
      </c>
      <c r="E23" s="656"/>
    </row>
    <row r="24" spans="1:5" x14ac:dyDescent="0.2">
      <c r="A24" s="1458"/>
      <c r="B24" s="652" t="s">
        <v>537</v>
      </c>
      <c r="C24" s="653" t="s">
        <v>16</v>
      </c>
      <c r="D24" s="652" t="str">
        <f>'DATA SKP2'!F21</f>
        <v>Kepala Kantor Kementerian Agama Kab. Sleman</v>
      </c>
    </row>
    <row r="25" spans="1:5" x14ac:dyDescent="0.2">
      <c r="A25" s="1458"/>
      <c r="B25" s="652" t="s">
        <v>55</v>
      </c>
      <c r="C25" s="653" t="s">
        <v>16</v>
      </c>
      <c r="D25" s="652" t="str">
        <f>'DATA SKP2'!F22</f>
        <v>Kantor Kemenag Kabupaten Sleman</v>
      </c>
    </row>
    <row r="26" spans="1:5" x14ac:dyDescent="0.2">
      <c r="A26" s="1458"/>
      <c r="B26" s="1458"/>
      <c r="C26" s="1458"/>
      <c r="D26" s="1458"/>
    </row>
    <row r="27" spans="1:5" ht="15" x14ac:dyDescent="0.2">
      <c r="A27" s="1458">
        <v>4</v>
      </c>
      <c r="B27" s="1461" t="s">
        <v>539</v>
      </c>
      <c r="C27" s="1461"/>
      <c r="D27" s="1461"/>
    </row>
    <row r="28" spans="1:5" ht="15" x14ac:dyDescent="0.2">
      <c r="A28" s="1458"/>
      <c r="B28" s="652" t="s">
        <v>540</v>
      </c>
      <c r="C28" s="653" t="s">
        <v>16</v>
      </c>
      <c r="D28" s="945">
        <f>'Penilaian Kinerja'!H15</f>
        <v>101.6</v>
      </c>
    </row>
    <row r="29" spans="1:5" ht="15" x14ac:dyDescent="0.2">
      <c r="A29" s="1458"/>
      <c r="B29" s="652" t="s">
        <v>541</v>
      </c>
      <c r="C29" s="653" t="s">
        <v>16</v>
      </c>
      <c r="D29" s="945">
        <f>'Penilaian Kinerja'!H16</f>
        <v>101.75</v>
      </c>
    </row>
    <row r="30" spans="1:5" ht="15" x14ac:dyDescent="0.2">
      <c r="A30" s="1458"/>
      <c r="B30" s="652" t="s">
        <v>542</v>
      </c>
      <c r="C30" s="653" t="s">
        <v>16</v>
      </c>
      <c r="D30" s="945">
        <f>'Penilaian Kinerja'!H17</f>
        <v>101.64499999999998</v>
      </c>
    </row>
    <row r="31" spans="1:5" ht="15" x14ac:dyDescent="0.2">
      <c r="A31" s="1458"/>
      <c r="B31" s="652" t="s">
        <v>543</v>
      </c>
      <c r="C31" s="653" t="s">
        <v>16</v>
      </c>
      <c r="D31" s="945">
        <f>'Penilaian Kinerja'!H18</f>
        <v>0</v>
      </c>
    </row>
    <row r="32" spans="1:5" ht="15" x14ac:dyDescent="0.2">
      <c r="A32" s="1458"/>
      <c r="B32" s="652" t="s">
        <v>544</v>
      </c>
      <c r="C32" s="653" t="s">
        <v>16</v>
      </c>
      <c r="D32" s="945">
        <f>'Penilaian Kinerja'!H19</f>
        <v>101.64499999999998</v>
      </c>
    </row>
    <row r="33" spans="1:4" ht="15" x14ac:dyDescent="0.2">
      <c r="A33" s="1458"/>
      <c r="B33" s="652" t="s">
        <v>545</v>
      </c>
      <c r="C33" s="653" t="s">
        <v>16</v>
      </c>
      <c r="D33" s="945" t="str">
        <f>IF((AND(D32&gt;109,D32&lt;121,D31&gt;0)),"(Sangat Baik)",IF((AND(D32&gt;89,D32&lt;121)),"(Baik)",IF((AND(D32&gt;69,D32&lt;90)),"(Cukup)",IF((AND(D32&gt;49,D32&lt;70)),"(Kurang)","(Sangat Kurang)"))))</f>
        <v>(Baik)</v>
      </c>
    </row>
    <row r="34" spans="1:4" ht="42.75" x14ac:dyDescent="0.2">
      <c r="A34" s="1458"/>
      <c r="B34" s="652" t="s">
        <v>546</v>
      </c>
      <c r="C34" s="653" t="s">
        <v>16</v>
      </c>
      <c r="D34" s="947">
        <f>'KETERKAITAN JF'!L26</f>
        <v>13</v>
      </c>
    </row>
    <row r="35" spans="1:4" x14ac:dyDescent="0.2">
      <c r="A35" s="1458"/>
      <c r="B35" s="1458"/>
      <c r="C35" s="1458"/>
      <c r="D35" s="1458"/>
    </row>
    <row r="36" spans="1:4" ht="15" x14ac:dyDescent="0.2">
      <c r="A36" s="1458">
        <v>5</v>
      </c>
      <c r="B36" s="1461" t="s">
        <v>547</v>
      </c>
      <c r="C36" s="1461"/>
      <c r="D36" s="1461"/>
    </row>
    <row r="37" spans="1:4" x14ac:dyDescent="0.2">
      <c r="A37" s="1458"/>
      <c r="B37" s="1464" t="s">
        <v>15</v>
      </c>
      <c r="C37" s="1464"/>
      <c r="D37" s="1464"/>
    </row>
    <row r="38" spans="1:4" x14ac:dyDescent="0.2">
      <c r="A38" s="1458"/>
      <c r="B38" s="1458"/>
      <c r="C38" s="1458"/>
      <c r="D38" s="1458"/>
    </row>
    <row r="39" spans="1:4" ht="15" x14ac:dyDescent="0.2">
      <c r="A39" s="1458">
        <v>6</v>
      </c>
      <c r="B39" s="1461" t="s">
        <v>51</v>
      </c>
      <c r="C39" s="1461"/>
      <c r="D39" s="1461"/>
    </row>
    <row r="40" spans="1:4" x14ac:dyDescent="0.2">
      <c r="A40" s="1458"/>
      <c r="B40" s="1464" t="s">
        <v>15</v>
      </c>
      <c r="C40" s="1464"/>
      <c r="D40" s="1464"/>
    </row>
    <row r="41" spans="1:4" x14ac:dyDescent="0.2">
      <c r="A41" s="1465"/>
      <c r="B41" s="1466"/>
      <c r="C41" s="1466"/>
      <c r="D41" s="1467"/>
    </row>
    <row r="42" spans="1:4" x14ac:dyDescent="0.2">
      <c r="A42" s="1462" t="str">
        <f>"8. Sleman, "&amp;PERIODE!E21</f>
        <v>8. Sleman, 5 Januari 2022</v>
      </c>
      <c r="B42" s="1463"/>
      <c r="C42" s="1463"/>
      <c r="D42" s="654" t="str">
        <f>"7. Sleman, "&amp;PERIODE!E20</f>
        <v>7. Sleman, 3 Januari 2022</v>
      </c>
    </row>
    <row r="43" spans="1:4" x14ac:dyDescent="0.2">
      <c r="A43" s="1462" t="s">
        <v>548</v>
      </c>
      <c r="B43" s="1463"/>
      <c r="C43" s="1463"/>
      <c r="D43" s="654" t="s">
        <v>523</v>
      </c>
    </row>
    <row r="44" spans="1:4" x14ac:dyDescent="0.2">
      <c r="A44" s="1462"/>
      <c r="B44" s="1463"/>
      <c r="C44" s="1463"/>
      <c r="D44" s="654"/>
    </row>
    <row r="45" spans="1:4" x14ac:dyDescent="0.2">
      <c r="A45" s="1462"/>
      <c r="B45" s="1463"/>
      <c r="C45" s="1463"/>
      <c r="D45" s="654"/>
    </row>
    <row r="46" spans="1:4" x14ac:dyDescent="0.2">
      <c r="A46" s="1462"/>
      <c r="B46" s="1463"/>
      <c r="C46" s="1463"/>
      <c r="D46" s="654"/>
    </row>
    <row r="47" spans="1:4" x14ac:dyDescent="0.2">
      <c r="A47" s="1462"/>
      <c r="B47" s="1463"/>
      <c r="C47" s="1463"/>
      <c r="D47" s="654"/>
    </row>
    <row r="48" spans="1:4" x14ac:dyDescent="0.2">
      <c r="A48" s="1462" t="str">
        <f>D7</f>
        <v>Sirajudin, S.Pd</v>
      </c>
      <c r="B48" s="1463"/>
      <c r="C48" s="1463"/>
      <c r="D48" s="654" t="str">
        <f>D14</f>
        <v>Drs. Busyroni Majid, M.Si</v>
      </c>
    </row>
    <row r="49" spans="1:4" x14ac:dyDescent="0.2">
      <c r="A49" s="1462" t="str">
        <f>"NIP. "&amp;D8</f>
        <v>NIP. 19730115 200710 1 001</v>
      </c>
      <c r="B49" s="1463"/>
      <c r="C49" s="1463"/>
      <c r="D49" s="654" t="str">
        <f>"NIP. "&amp;D15</f>
        <v>NIP. 19690921 199503 1 001</v>
      </c>
    </row>
    <row r="50" spans="1:4" x14ac:dyDescent="0.2">
      <c r="A50" s="1468"/>
      <c r="B50" s="1469"/>
      <c r="C50" s="1469"/>
      <c r="D50" s="655"/>
    </row>
    <row r="51" spans="1:4" x14ac:dyDescent="0.2"/>
    <row r="52" spans="1:4" x14ac:dyDescent="0.2"/>
  </sheetData>
  <sheetProtection algorithmName="SHA-512" hashValue="mDt27j9kuxIjugErFRLys0DbS6vn3vUmxQHaFYIguik+5RY4LQ1pUQ4E4HWkDhGgc6GAhq87S7Tzts/gi8gozA==" saltValue="f7RhIW629eTan1aNWlHExw==" spinCount="100000" sheet="1" objects="1" scenarios="1" formatCells="0" formatColumns="0" formatRows="0"/>
  <mergeCells count="32">
    <mergeCell ref="A49:C49"/>
    <mergeCell ref="A50:C50"/>
    <mergeCell ref="A43:C43"/>
    <mergeCell ref="A44:C44"/>
    <mergeCell ref="A45:C45"/>
    <mergeCell ref="A46:C46"/>
    <mergeCell ref="A47:C47"/>
    <mergeCell ref="A48:C48"/>
    <mergeCell ref="A42:C42"/>
    <mergeCell ref="A27:A34"/>
    <mergeCell ref="B27:D27"/>
    <mergeCell ref="A35:D35"/>
    <mergeCell ref="A36:A37"/>
    <mergeCell ref="B36:D36"/>
    <mergeCell ref="B37:D37"/>
    <mergeCell ref="A38:D38"/>
    <mergeCell ref="A39:A40"/>
    <mergeCell ref="B39:D39"/>
    <mergeCell ref="B40:D40"/>
    <mergeCell ref="A41:D41"/>
    <mergeCell ref="A26:D26"/>
    <mergeCell ref="A1:D1"/>
    <mergeCell ref="A3:B3"/>
    <mergeCell ref="A4:B4"/>
    <mergeCell ref="A6:A11"/>
    <mergeCell ref="B6:D6"/>
    <mergeCell ref="A12:D12"/>
    <mergeCell ref="A13:A18"/>
    <mergeCell ref="B13:D13"/>
    <mergeCell ref="A19:D19"/>
    <mergeCell ref="A20:A25"/>
    <mergeCell ref="B20:D20"/>
  </mergeCells>
  <printOptions horizontalCentered="1"/>
  <pageMargins left="1.1023622047244099" right="0.70866141732283505" top="0.74803149606299202" bottom="0.74803149606299202" header="0.31496062992126" footer="0.31496062992126"/>
  <pageSetup paperSize="9" scale="8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XFC31"/>
  <sheetViews>
    <sheetView topLeftCell="A7" workbookViewId="0">
      <selection sqref="A1:Q1"/>
    </sheetView>
  </sheetViews>
  <sheetFormatPr defaultColWidth="0" defaultRowHeight="15" customHeight="1" zeroHeight="1" x14ac:dyDescent="0.2"/>
  <cols>
    <col min="1" max="1" width="5.28515625" style="663" customWidth="1"/>
    <col min="2" max="2" width="14.42578125" style="540" customWidth="1"/>
    <col min="3" max="3" width="2.42578125" style="540" customWidth="1"/>
    <col min="4" max="4" width="25.85546875" style="540" customWidth="1"/>
    <col min="5" max="5" width="7.5703125" style="540" customWidth="1"/>
    <col min="6" max="6" width="5.42578125" style="540" customWidth="1"/>
    <col min="7" max="7" width="1.7109375" style="540" customWidth="1"/>
    <col min="8" max="8" width="20.140625" style="540" customWidth="1"/>
    <col min="9" max="9" width="2.42578125" style="540" customWidth="1"/>
    <col min="10" max="14" width="5.85546875" style="540" customWidth="1"/>
    <col min="15" max="15" width="2.28515625" style="540" customWidth="1"/>
    <col min="16" max="16" width="2.7109375" style="540" customWidth="1"/>
    <col min="17" max="17" width="2.28515625" style="540" customWidth="1"/>
    <col min="18" max="20" width="8.7109375" style="662" customWidth="1"/>
    <col min="21" max="26" width="8.7109375" style="658" hidden="1"/>
    <col min="27" max="16383" width="14.42578125" style="658" hidden="1"/>
    <col min="16384" max="16384" width="4" style="658" hidden="1" customWidth="1"/>
  </cols>
  <sheetData>
    <row r="1" spans="1:20" ht="15" customHeight="1" x14ac:dyDescent="0.2">
      <c r="A1" s="1062" t="s">
        <v>641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  <c r="L1" s="1062"/>
      <c r="M1" s="1062"/>
      <c r="N1" s="1062"/>
      <c r="O1" s="1062"/>
      <c r="P1" s="1062"/>
      <c r="Q1" s="1062"/>
    </row>
    <row r="2" spans="1:20" ht="15" customHeight="1" x14ac:dyDescent="0.2">
      <c r="A2" s="1062" t="str">
        <f>UPPER('Penilaian Kinerja'!A2)</f>
        <v>JABATAN GURU</v>
      </c>
      <c r="B2" s="1062"/>
      <c r="C2" s="1062"/>
      <c r="D2" s="1062"/>
      <c r="E2" s="1062"/>
      <c r="F2" s="1062"/>
      <c r="G2" s="1062"/>
      <c r="H2" s="1062"/>
      <c r="I2" s="1062"/>
      <c r="J2" s="1062"/>
      <c r="K2" s="1062"/>
      <c r="L2" s="1062"/>
      <c r="M2" s="1062"/>
      <c r="N2" s="1062"/>
      <c r="O2" s="1062"/>
      <c r="P2" s="1062"/>
      <c r="Q2" s="1062"/>
    </row>
    <row r="3" spans="1:20" ht="15" customHeight="1" x14ac:dyDescent="0.2">
      <c r="B3" s="663"/>
    </row>
    <row r="4" spans="1:20" ht="15" customHeight="1" x14ac:dyDescent="0.2">
      <c r="B4" s="663"/>
      <c r="J4" s="540" t="s">
        <v>419</v>
      </c>
    </row>
    <row r="5" spans="1:20" ht="15" customHeight="1" x14ac:dyDescent="0.2">
      <c r="A5" s="540" t="s">
        <v>420</v>
      </c>
      <c r="C5" s="540" t="s">
        <v>16</v>
      </c>
      <c r="D5" s="1063" t="str">
        <f>'Penilaian Kinerja'!D5:G5</f>
        <v>MTs Negeri 5 Sleman</v>
      </c>
      <c r="E5" s="1063"/>
      <c r="F5" s="1063"/>
      <c r="G5" s="1063"/>
      <c r="J5" s="540" t="s">
        <v>681</v>
      </c>
    </row>
    <row r="6" spans="1:20" ht="15" customHeight="1" x14ac:dyDescent="0.2">
      <c r="D6" s="664"/>
      <c r="E6" s="664"/>
      <c r="F6" s="664"/>
      <c r="G6" s="664"/>
      <c r="J6" s="665"/>
    </row>
    <row r="7" spans="1:20" ht="16.5" customHeight="1" x14ac:dyDescent="0.2">
      <c r="A7" s="1088" t="s">
        <v>85</v>
      </c>
      <c r="B7" s="1089"/>
      <c r="C7" s="1089"/>
      <c r="D7" s="1089"/>
      <c r="E7" s="1089"/>
      <c r="F7" s="1089"/>
      <c r="G7" s="1090"/>
      <c r="H7" s="1088" t="s">
        <v>86</v>
      </c>
      <c r="I7" s="1089"/>
      <c r="J7" s="1089"/>
      <c r="K7" s="1089"/>
      <c r="L7" s="1089"/>
      <c r="M7" s="1089"/>
      <c r="N7" s="1089"/>
      <c r="O7" s="1089"/>
      <c r="P7" s="1089"/>
      <c r="Q7" s="1090"/>
    </row>
    <row r="8" spans="1:20" ht="18.75" customHeight="1" x14ac:dyDescent="0.2">
      <c r="A8" s="1086" t="s">
        <v>2</v>
      </c>
      <c r="B8" s="1087"/>
      <c r="C8" s="895" t="s">
        <v>16</v>
      </c>
      <c r="D8" s="896" t="str">
        <f>'Penilaian Kinerja'!D8</f>
        <v>Sirajudin, S.Pd</v>
      </c>
      <c r="E8" s="897"/>
      <c r="F8" s="897"/>
      <c r="G8" s="898"/>
      <c r="H8" s="899" t="s">
        <v>2</v>
      </c>
      <c r="I8" s="895" t="s">
        <v>16</v>
      </c>
      <c r="J8" s="900" t="str">
        <f>'Penilaian Kinerja'!J8</f>
        <v>Drs. Busyroni Majid, M.Si</v>
      </c>
      <c r="K8" s="901"/>
      <c r="L8" s="901"/>
      <c r="M8" s="901"/>
      <c r="N8" s="901"/>
      <c r="O8" s="901"/>
      <c r="P8" s="901"/>
      <c r="Q8" s="902"/>
    </row>
    <row r="9" spans="1:20" ht="18.75" customHeight="1" x14ac:dyDescent="0.2">
      <c r="A9" s="1086" t="s">
        <v>3</v>
      </c>
      <c r="B9" s="1087"/>
      <c r="C9" s="895" t="s">
        <v>16</v>
      </c>
      <c r="D9" s="896" t="str">
        <f>'Penilaian Kinerja'!D9</f>
        <v>19730115 200710 1 001</v>
      </c>
      <c r="E9" s="897"/>
      <c r="F9" s="897"/>
      <c r="G9" s="898"/>
      <c r="H9" s="899" t="s">
        <v>3</v>
      </c>
      <c r="I9" s="895" t="s">
        <v>16</v>
      </c>
      <c r="J9" s="900" t="str">
        <f>'Penilaian Kinerja'!J9</f>
        <v>19690921 199503 1 001</v>
      </c>
      <c r="K9" s="901"/>
      <c r="L9" s="901"/>
      <c r="M9" s="901"/>
      <c r="N9" s="901"/>
      <c r="O9" s="901"/>
      <c r="P9" s="901"/>
      <c r="Q9" s="902"/>
    </row>
    <row r="10" spans="1:20" ht="18.75" customHeight="1" x14ac:dyDescent="0.2">
      <c r="A10" s="1086" t="s">
        <v>106</v>
      </c>
      <c r="B10" s="1087"/>
      <c r="C10" s="895" t="s">
        <v>16</v>
      </c>
      <c r="D10" s="896" t="str">
        <f>'Penilaian Kinerja'!D10</f>
        <v>Penata Muda, Gol. III/a</v>
      </c>
      <c r="E10" s="897"/>
      <c r="F10" s="897"/>
      <c r="G10" s="898"/>
      <c r="H10" s="899" t="s">
        <v>106</v>
      </c>
      <c r="I10" s="895" t="s">
        <v>16</v>
      </c>
      <c r="J10" s="900" t="str">
        <f>'Penilaian Kinerja'!J10</f>
        <v>Pembina, Gol. IV/a</v>
      </c>
      <c r="K10" s="901"/>
      <c r="L10" s="901"/>
      <c r="M10" s="901"/>
      <c r="N10" s="901"/>
      <c r="O10" s="901"/>
      <c r="P10" s="901"/>
      <c r="Q10" s="902"/>
    </row>
    <row r="11" spans="1:20" ht="18.75" customHeight="1" x14ac:dyDescent="0.2">
      <c r="A11" s="1086" t="s">
        <v>4</v>
      </c>
      <c r="B11" s="1087"/>
      <c r="C11" s="895" t="s">
        <v>16</v>
      </c>
      <c r="D11" s="896" t="str">
        <f>'Penilaian Kinerja'!D11</f>
        <v>Guru Pertama</v>
      </c>
      <c r="E11" s="897"/>
      <c r="F11" s="897"/>
      <c r="G11" s="898"/>
      <c r="H11" s="899" t="s">
        <v>4</v>
      </c>
      <c r="I11" s="895" t="s">
        <v>16</v>
      </c>
      <c r="J11" s="900" t="str">
        <f>'Penilaian Kinerja'!J11</f>
        <v>Kepala Madrasah</v>
      </c>
      <c r="K11" s="901"/>
      <c r="L11" s="901"/>
      <c r="M11" s="901"/>
      <c r="N11" s="901"/>
      <c r="O11" s="901"/>
      <c r="P11" s="901"/>
      <c r="Q11" s="902"/>
    </row>
    <row r="12" spans="1:20" ht="18.75" customHeight="1" x14ac:dyDescent="0.2">
      <c r="A12" s="1091" t="s">
        <v>5</v>
      </c>
      <c r="B12" s="1092"/>
      <c r="C12" s="903" t="s">
        <v>16</v>
      </c>
      <c r="D12" s="896" t="str">
        <f>'Penilaian Kinerja'!D12</f>
        <v>MTs Negeri 5 Sleman</v>
      </c>
      <c r="E12" s="904"/>
      <c r="F12" s="904"/>
      <c r="G12" s="903"/>
      <c r="H12" s="905" t="s">
        <v>5</v>
      </c>
      <c r="I12" s="903" t="s">
        <v>16</v>
      </c>
      <c r="J12" s="900" t="str">
        <f>'Penilaian Kinerja'!J12</f>
        <v>MTs Negeri 5 Sleman</v>
      </c>
      <c r="K12" s="906"/>
      <c r="L12" s="906"/>
      <c r="M12" s="906"/>
      <c r="N12" s="906"/>
      <c r="O12" s="906"/>
      <c r="P12" s="906"/>
      <c r="Q12" s="907"/>
    </row>
    <row r="13" spans="1:20" ht="30" customHeight="1" x14ac:dyDescent="0.2">
      <c r="A13" s="1368" t="s">
        <v>642</v>
      </c>
      <c r="B13" s="1470"/>
      <c r="C13" s="894" t="s">
        <v>16</v>
      </c>
      <c r="D13" s="1379" t="s">
        <v>643</v>
      </c>
      <c r="E13" s="1379"/>
      <c r="F13" s="1379"/>
      <c r="G13" s="1379"/>
      <c r="H13" s="1379"/>
      <c r="I13" s="1379"/>
      <c r="J13" s="1379"/>
      <c r="K13" s="1379"/>
      <c r="L13" s="1379"/>
      <c r="M13" s="1379"/>
      <c r="N13" s="1379"/>
      <c r="O13" s="1379"/>
      <c r="P13" s="1379"/>
      <c r="Q13" s="1379"/>
    </row>
    <row r="14" spans="1:20" s="661" customFormat="1" ht="24" customHeight="1" x14ac:dyDescent="0.2">
      <c r="A14" s="1471" t="s">
        <v>71</v>
      </c>
      <c r="B14" s="1472"/>
      <c r="C14" s="1472"/>
      <c r="D14" s="1472"/>
      <c r="E14" s="1472"/>
      <c r="F14" s="1472"/>
      <c r="G14" s="1472"/>
      <c r="H14" s="1472"/>
      <c r="I14" s="1472"/>
      <c r="J14" s="1472"/>
      <c r="K14" s="1472"/>
      <c r="L14" s="1472"/>
      <c r="M14" s="1472"/>
      <c r="N14" s="1472"/>
      <c r="O14" s="1472"/>
      <c r="P14" s="1472"/>
      <c r="Q14" s="1473"/>
      <c r="R14" s="679"/>
      <c r="S14" s="679"/>
      <c r="T14" s="679"/>
    </row>
    <row r="15" spans="1:20" s="661" customFormat="1" ht="24" customHeight="1" x14ac:dyDescent="0.2">
      <c r="A15" s="1077" t="s">
        <v>72</v>
      </c>
      <c r="B15" s="1078"/>
      <c r="C15" s="1078"/>
      <c r="D15" s="1078"/>
      <c r="E15" s="1078"/>
      <c r="F15" s="1078"/>
      <c r="G15" s="1079"/>
      <c r="H15" s="1080" t="s">
        <v>73</v>
      </c>
      <c r="I15" s="1080"/>
      <c r="J15" s="1080"/>
      <c r="K15" s="1080"/>
      <c r="L15" s="1080"/>
      <c r="M15" s="1080"/>
      <c r="N15" s="1080"/>
      <c r="O15" s="1080"/>
      <c r="P15" s="1080"/>
      <c r="Q15" s="1080"/>
      <c r="R15" s="679"/>
      <c r="S15" s="679"/>
      <c r="T15" s="679"/>
    </row>
    <row r="16" spans="1:20" s="661" customFormat="1" ht="30" customHeight="1" x14ac:dyDescent="0.2">
      <c r="A16" s="1474" t="s">
        <v>620</v>
      </c>
      <c r="B16" s="1475"/>
      <c r="C16" s="1475"/>
      <c r="D16" s="1475"/>
      <c r="E16" s="1475"/>
      <c r="F16" s="1475"/>
      <c r="G16" s="1476"/>
      <c r="H16" s="1084">
        <f>'Konversi Nilai'!L16</f>
        <v>101.99714285714286</v>
      </c>
      <c r="I16" s="1084"/>
      <c r="J16" s="1084"/>
      <c r="K16" s="1084"/>
      <c r="L16" s="1084"/>
      <c r="M16" s="1084"/>
      <c r="N16" s="1084"/>
      <c r="O16" s="1084"/>
      <c r="P16" s="1084"/>
      <c r="Q16" s="1084"/>
      <c r="R16" s="679"/>
      <c r="S16" s="679"/>
      <c r="T16" s="679"/>
    </row>
    <row r="17" spans="1:20" s="661" customFormat="1" ht="30" customHeight="1" x14ac:dyDescent="0.2">
      <c r="A17" s="1474" t="s">
        <v>622</v>
      </c>
      <c r="B17" s="1475"/>
      <c r="C17" s="1475"/>
      <c r="D17" s="1475"/>
      <c r="E17" s="1475"/>
      <c r="F17" s="1475"/>
      <c r="G17" s="1476"/>
      <c r="H17" s="1084">
        <f>'Penilaian Kinerja'!H19</f>
        <v>101.64499999999998</v>
      </c>
      <c r="I17" s="1084"/>
      <c r="J17" s="1084"/>
      <c r="K17" s="1084"/>
      <c r="L17" s="1084"/>
      <c r="M17" s="1084"/>
      <c r="N17" s="1084"/>
      <c r="O17" s="1084"/>
      <c r="P17" s="1084"/>
      <c r="Q17" s="1084"/>
      <c r="R17" s="679"/>
      <c r="S17" s="679"/>
      <c r="T17" s="679"/>
    </row>
    <row r="18" spans="1:20" s="661" customFormat="1" ht="30" customHeight="1" x14ac:dyDescent="0.2">
      <c r="A18" s="1455" t="s">
        <v>549</v>
      </c>
      <c r="B18" s="1370"/>
      <c r="C18" s="1370"/>
      <c r="D18" s="1370"/>
      <c r="E18" s="1370"/>
      <c r="F18" s="1370"/>
      <c r="G18" s="1371"/>
      <c r="H18" s="1076">
        <f>(50%*H16)+(50%*H17)</f>
        <v>101.82107142857143</v>
      </c>
      <c r="I18" s="1076"/>
      <c r="J18" s="1076"/>
      <c r="K18" s="1076"/>
      <c r="L18" s="1076"/>
      <c r="M18" s="1076"/>
      <c r="N18" s="1076"/>
      <c r="O18" s="1076"/>
      <c r="P18" s="1076"/>
      <c r="Q18" s="1076"/>
      <c r="R18" s="679"/>
      <c r="S18" s="679"/>
      <c r="T18" s="679"/>
    </row>
    <row r="19" spans="1:20" s="661" customFormat="1" ht="30" customHeight="1" x14ac:dyDescent="0.2">
      <c r="A19" s="1455" t="s">
        <v>402</v>
      </c>
      <c r="B19" s="1370"/>
      <c r="C19" s="1370"/>
      <c r="D19" s="1370"/>
      <c r="E19" s="1370"/>
      <c r="F19" s="1370"/>
      <c r="G19" s="1371"/>
      <c r="H19" s="1076" t="str">
        <f>IF((AND(H18&gt;109,H18&lt;121,'Penilaian Kinerja'!H18&gt;0)),"(Sangat Baik)",IF((AND(H18&gt;89,H18&lt;121)),"(Baik)",IF((AND(H18&gt;69,H18&lt;90)),"(Cukup)",IF((AND(H18&gt;49,H18&lt;70)),"(Kurang)","(Sangat Kurang)"))))</f>
        <v>(Baik)</v>
      </c>
      <c r="I19" s="1076"/>
      <c r="J19" s="1076"/>
      <c r="K19" s="1076"/>
      <c r="L19" s="1076"/>
      <c r="M19" s="1076"/>
      <c r="N19" s="1076"/>
      <c r="O19" s="1076"/>
      <c r="P19" s="1076"/>
      <c r="Q19" s="1076"/>
      <c r="R19" s="679"/>
      <c r="S19" s="679"/>
      <c r="T19" s="679"/>
    </row>
    <row r="20" spans="1:20" ht="15.75" customHeight="1" x14ac:dyDescent="0.2"/>
    <row r="21" spans="1:20" ht="15.75" customHeight="1" x14ac:dyDescent="0.2"/>
    <row r="22" spans="1:20" ht="15.75" customHeight="1" x14ac:dyDescent="0.2">
      <c r="J22" s="540" t="str">
        <f>"Sleman, "&amp;D13</f>
        <v>Sleman, 2 Februari 2022</v>
      </c>
    </row>
    <row r="23" spans="1:20" ht="15.75" customHeight="1" x14ac:dyDescent="0.2">
      <c r="B23" s="540" t="s">
        <v>522</v>
      </c>
      <c r="J23" s="540" t="s">
        <v>523</v>
      </c>
    </row>
    <row r="24" spans="1:20" ht="15.75" customHeight="1" x14ac:dyDescent="0.2"/>
    <row r="25" spans="1:20" ht="15.75" customHeight="1" x14ac:dyDescent="0.2"/>
    <row r="26" spans="1:20" ht="15.75" customHeight="1" x14ac:dyDescent="0.2"/>
    <row r="27" spans="1:20" ht="15.75" customHeight="1" x14ac:dyDescent="0.2"/>
    <row r="28" spans="1:20" ht="15.75" customHeight="1" x14ac:dyDescent="0.2">
      <c r="B28" s="540" t="str">
        <f>D8</f>
        <v>Sirajudin, S.Pd</v>
      </c>
      <c r="J28" s="540" t="str">
        <f>J8</f>
        <v>Drs. Busyroni Majid, M.Si</v>
      </c>
    </row>
    <row r="29" spans="1:20" ht="15.75" customHeight="1" x14ac:dyDescent="0.2">
      <c r="B29" s="540" t="str">
        <f>"NIP. "&amp;D9</f>
        <v>NIP. 19730115 200710 1 001</v>
      </c>
      <c r="J29" s="540" t="str">
        <f>"NIP. "&amp;J9</f>
        <v>NIP. 19690921 199503 1 001</v>
      </c>
    </row>
    <row r="30" spans="1:20" s="659" customFormat="1" ht="15.75" customHeight="1" x14ac:dyDescent="0.2">
      <c r="A30" s="663"/>
      <c r="B30" s="540"/>
      <c r="C30" s="540"/>
      <c r="D30" s="540"/>
      <c r="E30" s="540"/>
      <c r="F30" s="540"/>
      <c r="G30" s="540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663"/>
      <c r="S30" s="663"/>
      <c r="T30" s="663"/>
    </row>
    <row r="31" spans="1:20" ht="15" customHeight="1" x14ac:dyDescent="0.2"/>
  </sheetData>
  <sheetProtection algorithmName="SHA-512" hashValue="R45bMTCN5OhszoJa1D1tNbWNRRQQNfPSyEacFqkGT4Mx8Nf+C0is30kfVwDyp84UxnYsSVmr4BXTIM7yU3CmOg==" saltValue="MJoC6whIBjjMNpl/IKgzhA==" spinCount="100000" sheet="1" objects="1" scenarios="1" formatCells="0" formatColumns="0" formatRows="0"/>
  <mergeCells count="23">
    <mergeCell ref="A18:G18"/>
    <mergeCell ref="H18:Q18"/>
    <mergeCell ref="A19:G19"/>
    <mergeCell ref="H19:Q19"/>
    <mergeCell ref="A14:Q14"/>
    <mergeCell ref="A15:G15"/>
    <mergeCell ref="H15:Q15"/>
    <mergeCell ref="A16:G16"/>
    <mergeCell ref="H16:Q16"/>
    <mergeCell ref="A17:G17"/>
    <mergeCell ref="H17:Q17"/>
    <mergeCell ref="D13:Q13"/>
    <mergeCell ref="A1:Q1"/>
    <mergeCell ref="A2:Q2"/>
    <mergeCell ref="D5:G5"/>
    <mergeCell ref="A7:G7"/>
    <mergeCell ref="H7:Q7"/>
    <mergeCell ref="A8:B8"/>
    <mergeCell ref="A9:B9"/>
    <mergeCell ref="A10:B10"/>
    <mergeCell ref="A11:B11"/>
    <mergeCell ref="A12:B12"/>
    <mergeCell ref="A13:B13"/>
  </mergeCells>
  <pageMargins left="0.70866141732283505" right="0.511811023622047" top="0.74803149606299202" bottom="0.511811023622047" header="0" footer="0"/>
  <pageSetup paperSize="9" scale="75" fitToHeight="0" orientation="portrait" horizontalDpi="4294967293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XFC34"/>
  <sheetViews>
    <sheetView view="pageBreakPreview" topLeftCell="A10" zoomScale="90" zoomScaleNormal="100" zoomScaleSheetLayoutView="90" workbookViewId="0">
      <selection activeCell="M14" sqref="M14:N21"/>
    </sheetView>
  </sheetViews>
  <sheetFormatPr defaultColWidth="0" defaultRowHeight="12.75" x14ac:dyDescent="0.2"/>
  <cols>
    <col min="1" max="1" width="4.7109375" style="335" customWidth="1"/>
    <col min="2" max="2" width="19.7109375" style="335" customWidth="1"/>
    <col min="3" max="3" width="30" style="335" customWidth="1"/>
    <col min="4" max="4" width="6.85546875" style="335" customWidth="1"/>
    <col min="5" max="5" width="6" style="335" customWidth="1"/>
    <col min="6" max="6" width="11.85546875" style="335" customWidth="1"/>
    <col min="7" max="7" width="9" style="335" customWidth="1"/>
    <col min="8" max="8" width="6.140625" style="335" customWidth="1"/>
    <col min="9" max="9" width="5" style="335" customWidth="1"/>
    <col min="10" max="10" width="6.42578125" style="335" customWidth="1"/>
    <col min="11" max="11" width="9.140625" style="273" customWidth="1"/>
    <col min="12" max="12" width="16.5703125" style="273" customWidth="1"/>
    <col min="13" max="13" width="21.140625" style="273" customWidth="1"/>
    <col min="14" max="14" width="16.7109375" style="273" customWidth="1"/>
    <col min="15" max="16381" width="9.140625" style="273" hidden="1"/>
    <col min="16382" max="16382" width="2" style="273" customWidth="1"/>
    <col min="16383" max="16383" width="10" style="273" hidden="1" customWidth="1"/>
    <col min="16384" max="16384" width="12.5703125" style="273" hidden="1" customWidth="1"/>
  </cols>
  <sheetData>
    <row r="1" spans="1:14" ht="18" x14ac:dyDescent="0.25">
      <c r="A1" s="1386" t="s">
        <v>101</v>
      </c>
      <c r="B1" s="1386"/>
      <c r="C1" s="1386"/>
      <c r="D1" s="1386"/>
      <c r="E1" s="1386"/>
      <c r="F1" s="1386"/>
      <c r="G1" s="1386"/>
      <c r="H1" s="1386"/>
      <c r="I1" s="1386"/>
      <c r="J1" s="1386"/>
      <c r="K1" s="278"/>
      <c r="L1" s="278"/>
      <c r="M1" s="278"/>
      <c r="N1" s="278"/>
    </row>
    <row r="2" spans="1:14" ht="18" x14ac:dyDescent="0.25">
      <c r="A2" s="1386" t="str">
        <f>UPPER('DATA SKP2'!F9)</f>
        <v>GURU PERTAMA</v>
      </c>
      <c r="B2" s="1386"/>
      <c r="C2" s="1386"/>
      <c r="D2" s="1386"/>
      <c r="E2" s="1386"/>
      <c r="F2" s="1386"/>
      <c r="G2" s="1386"/>
      <c r="H2" s="1386"/>
      <c r="I2" s="1386"/>
      <c r="J2" s="1386"/>
      <c r="K2" s="278"/>
      <c r="L2" s="278"/>
      <c r="M2" s="278"/>
      <c r="N2" s="278"/>
    </row>
    <row r="3" spans="1:14" ht="18" x14ac:dyDescent="0.25">
      <c r="A3" s="642"/>
      <c r="B3" s="642"/>
      <c r="C3" s="642"/>
      <c r="D3" s="642"/>
      <c r="E3" s="642"/>
      <c r="F3" s="485" t="s">
        <v>419</v>
      </c>
      <c r="G3" s="642"/>
      <c r="H3" s="642"/>
      <c r="I3" s="642"/>
      <c r="J3" s="642"/>
      <c r="K3" s="278"/>
      <c r="L3" s="278"/>
      <c r="M3" s="278"/>
      <c r="N3" s="278"/>
    </row>
    <row r="4" spans="1:14" ht="18" x14ac:dyDescent="0.25">
      <c r="A4" s="657" t="s">
        <v>551</v>
      </c>
      <c r="B4" s="642"/>
      <c r="C4" s="657" t="str">
        <f>'DATA SKP2'!F3</f>
        <v>MTs Negeri 5 Sleman</v>
      </c>
      <c r="D4" s="642"/>
      <c r="E4" s="642"/>
      <c r="F4" s="485" t="str">
        <f>PERIODE!E22</f>
        <v>01 Januari s/d 31 Desember 2021</v>
      </c>
      <c r="G4" s="642"/>
      <c r="H4" s="642"/>
      <c r="I4" s="642"/>
      <c r="J4" s="642"/>
      <c r="K4" s="278"/>
      <c r="L4" s="278"/>
      <c r="M4" s="278"/>
      <c r="N4" s="278"/>
    </row>
    <row r="5" spans="1:14" ht="10.9" customHeight="1" x14ac:dyDescent="0.25">
      <c r="A5" s="378"/>
      <c r="B5" s="378"/>
      <c r="C5" s="378"/>
      <c r="D5" s="378"/>
      <c r="E5" s="378"/>
      <c r="F5" s="378"/>
      <c r="G5" s="378"/>
      <c r="H5" s="378"/>
      <c r="I5" s="378"/>
      <c r="J5" s="378"/>
      <c r="K5" s="278"/>
      <c r="L5" s="278"/>
      <c r="M5" s="278"/>
      <c r="N5" s="278"/>
    </row>
    <row r="6" spans="1:14" ht="17.25" customHeight="1" x14ac:dyDescent="0.2">
      <c r="A6" s="404" t="s">
        <v>1</v>
      </c>
      <c r="B6" s="1480" t="s">
        <v>85</v>
      </c>
      <c r="C6" s="1481"/>
      <c r="D6" s="404" t="s">
        <v>1</v>
      </c>
      <c r="E6" s="1480" t="s">
        <v>86</v>
      </c>
      <c r="F6" s="1480"/>
      <c r="G6" s="1480"/>
      <c r="H6" s="1480"/>
      <c r="I6" s="1480"/>
      <c r="J6" s="1480"/>
      <c r="K6" s="278"/>
      <c r="L6" s="278"/>
    </row>
    <row r="7" spans="1:14" ht="17.25" customHeight="1" x14ac:dyDescent="0.25">
      <c r="A7" s="405" t="s">
        <v>20</v>
      </c>
      <c r="B7" s="406" t="s">
        <v>2</v>
      </c>
      <c r="C7" s="407" t="str">
        <f>'Penilaian Kinerja'!D8</f>
        <v>Sirajudin, S.Pd</v>
      </c>
      <c r="D7" s="405" t="s">
        <v>20</v>
      </c>
      <c r="E7" s="1482" t="s">
        <v>2</v>
      </c>
      <c r="F7" s="1482"/>
      <c r="G7" s="1483" t="str">
        <f>'Penilaian Kinerja'!J8</f>
        <v>Drs. Busyroni Majid, M.Si</v>
      </c>
      <c r="H7" s="1484"/>
      <c r="I7" s="1484"/>
      <c r="J7" s="1485"/>
      <c r="K7" s="278"/>
      <c r="L7" s="278"/>
    </row>
    <row r="8" spans="1:14" ht="17.25" customHeight="1" x14ac:dyDescent="0.25">
      <c r="A8" s="405" t="s">
        <v>21</v>
      </c>
      <c r="B8" s="408" t="s">
        <v>3</v>
      </c>
      <c r="C8" s="736" t="str">
        <f>'Penilaian Kinerja'!D9</f>
        <v>19730115 200710 1 001</v>
      </c>
      <c r="D8" s="405" t="s">
        <v>21</v>
      </c>
      <c r="E8" s="1482" t="s">
        <v>3</v>
      </c>
      <c r="F8" s="1482"/>
      <c r="G8" s="1483" t="str">
        <f>'Penilaian Kinerja'!J9</f>
        <v>19690921 199503 1 001</v>
      </c>
      <c r="H8" s="1484"/>
      <c r="I8" s="1484"/>
      <c r="J8" s="1485"/>
      <c r="K8" s="278"/>
      <c r="L8" s="278"/>
      <c r="M8" s="467" t="s">
        <v>398</v>
      </c>
      <c r="N8" s="472">
        <f>'Penilaian Prestasi'!H17</f>
        <v>84.84</v>
      </c>
    </row>
    <row r="9" spans="1:14" ht="17.25" customHeight="1" x14ac:dyDescent="0.25">
      <c r="A9" s="405" t="s">
        <v>46</v>
      </c>
      <c r="B9" s="408" t="s">
        <v>6</v>
      </c>
      <c r="C9" s="736" t="str">
        <f>'Penilaian Kinerja'!D10</f>
        <v>Penata Muda, Gol. III/a</v>
      </c>
      <c r="D9" s="405" t="s">
        <v>46</v>
      </c>
      <c r="E9" s="1483" t="s">
        <v>6</v>
      </c>
      <c r="F9" s="1485"/>
      <c r="G9" s="1483" t="str">
        <f>'Penilaian Kinerja'!J10</f>
        <v>Pembina, Gol. IV/a</v>
      </c>
      <c r="H9" s="1484"/>
      <c r="I9" s="1484"/>
      <c r="J9" s="1485"/>
      <c r="K9" s="278"/>
      <c r="L9" s="278"/>
      <c r="M9" s="467" t="s">
        <v>399</v>
      </c>
      <c r="N9" s="473">
        <f>E16</f>
        <v>102.0224</v>
      </c>
    </row>
    <row r="10" spans="1:14" ht="17.25" customHeight="1" x14ac:dyDescent="0.25">
      <c r="A10" s="405" t="s">
        <v>48</v>
      </c>
      <c r="B10" s="408" t="s">
        <v>4</v>
      </c>
      <c r="C10" s="736" t="str">
        <f>'Penilaian Kinerja'!D11</f>
        <v>Guru Pertama</v>
      </c>
      <c r="D10" s="405" t="s">
        <v>48</v>
      </c>
      <c r="E10" s="1482" t="s">
        <v>4</v>
      </c>
      <c r="F10" s="1482"/>
      <c r="G10" s="1483" t="str">
        <f>'Penilaian Kinerja'!J11</f>
        <v>Kepala Madrasah</v>
      </c>
      <c r="H10" s="1484"/>
      <c r="I10" s="1484"/>
      <c r="J10" s="1485"/>
      <c r="K10" s="278"/>
      <c r="L10" s="278"/>
      <c r="M10" s="474" t="s">
        <v>398</v>
      </c>
      <c r="N10" s="475">
        <f>N9*50%</f>
        <v>51.011200000000002</v>
      </c>
    </row>
    <row r="11" spans="1:14" ht="17.25" customHeight="1" x14ac:dyDescent="0.25">
      <c r="A11" s="405" t="s">
        <v>50</v>
      </c>
      <c r="B11" s="408" t="s">
        <v>5</v>
      </c>
      <c r="C11" s="736" t="str">
        <f>'Penilaian Kinerja'!D12</f>
        <v>MTs Negeri 5 Sleman</v>
      </c>
      <c r="D11" s="405" t="s">
        <v>50</v>
      </c>
      <c r="E11" s="1482" t="s">
        <v>5</v>
      </c>
      <c r="F11" s="1482"/>
      <c r="G11" s="1483" t="str">
        <f>'Penilaian Kinerja'!J12</f>
        <v>MTs Negeri 5 Sleman</v>
      </c>
      <c r="H11" s="1484"/>
      <c r="I11" s="1484"/>
      <c r="J11" s="1485"/>
      <c r="K11" s="278"/>
      <c r="L11" s="278"/>
    </row>
    <row r="12" spans="1:14" ht="9.75" customHeight="1" x14ac:dyDescent="0.2">
      <c r="A12" s="384"/>
      <c r="B12" s="385"/>
      <c r="C12" s="386"/>
      <c r="D12" s="384"/>
      <c r="E12" s="386"/>
      <c r="F12" s="386"/>
      <c r="G12" s="386"/>
      <c r="H12" s="386"/>
      <c r="I12" s="386"/>
      <c r="J12" s="386"/>
      <c r="K12" s="278"/>
      <c r="L12" s="278"/>
    </row>
    <row r="13" spans="1:14" ht="36" customHeight="1" x14ac:dyDescent="0.2">
      <c r="A13" s="1490" t="s">
        <v>74</v>
      </c>
      <c r="B13" s="1491"/>
      <c r="C13" s="1495" t="str">
        <f>PERIODE!E13</f>
        <v>10 Januari 2022</v>
      </c>
      <c r="D13" s="1495"/>
      <c r="E13" s="1495"/>
      <c r="F13" s="1495"/>
      <c r="G13" s="1495"/>
      <c r="H13" s="1495"/>
      <c r="I13" s="1495"/>
      <c r="J13" s="1496"/>
      <c r="K13" s="278"/>
      <c r="L13" s="278"/>
    </row>
    <row r="14" spans="1:14" ht="17.25" customHeight="1" x14ac:dyDescent="0.2">
      <c r="A14" s="1488" t="s">
        <v>71</v>
      </c>
      <c r="B14" s="1488"/>
      <c r="C14" s="1488"/>
      <c r="D14" s="1488"/>
      <c r="E14" s="1488"/>
      <c r="F14" s="1488"/>
      <c r="G14" s="1488"/>
      <c r="H14" s="1488"/>
      <c r="I14" s="1488"/>
      <c r="J14" s="1489"/>
      <c r="K14" s="278"/>
      <c r="L14" s="278"/>
      <c r="M14" s="1373" t="s">
        <v>400</v>
      </c>
      <c r="N14" s="1374"/>
    </row>
    <row r="15" spans="1:14" ht="20.25" customHeight="1" x14ac:dyDescent="0.2">
      <c r="A15" s="409" t="s">
        <v>1</v>
      </c>
      <c r="B15" s="1497" t="s">
        <v>72</v>
      </c>
      <c r="C15" s="1498"/>
      <c r="D15" s="1499"/>
      <c r="E15" s="1500" t="s">
        <v>73</v>
      </c>
      <c r="F15" s="1500"/>
      <c r="G15" s="1500"/>
      <c r="H15" s="1500"/>
      <c r="I15" s="1500"/>
      <c r="J15" s="1500"/>
      <c r="K15" s="278"/>
      <c r="L15" s="278"/>
      <c r="M15" s="466" t="s">
        <v>401</v>
      </c>
      <c r="N15" s="466" t="s">
        <v>402</v>
      </c>
    </row>
    <row r="16" spans="1:14" ht="12.75" hidden="1" customHeight="1" x14ac:dyDescent="0.2">
      <c r="A16" s="410"/>
      <c r="B16" s="1477" t="s">
        <v>346</v>
      </c>
      <c r="C16" s="1478"/>
      <c r="D16" s="1479"/>
      <c r="E16" s="1492">
        <f>VLOOKUP('Penilaian Prestasi'!H17,konversi,2)+(VLOOKUP('Penilaian Prestasi'!H17,konversi,3)*('Penilaian Prestasi'!H17-VLOOKUP('Penilaian Prestasi'!H17,konversi,4)))</f>
        <v>102.0224</v>
      </c>
      <c r="F16" s="1493"/>
      <c r="G16" s="1493"/>
      <c r="H16" s="1493"/>
      <c r="I16" s="1493"/>
      <c r="J16" s="1494"/>
      <c r="K16" s="278"/>
      <c r="L16" s="278"/>
      <c r="M16" s="467"/>
      <c r="N16" s="467"/>
    </row>
    <row r="17" spans="1:14" ht="20.25" customHeight="1" x14ac:dyDescent="0.2">
      <c r="A17" s="411" t="s">
        <v>23</v>
      </c>
      <c r="B17" s="1486" t="str">
        <f>PERIODE!E3</f>
        <v>Januari - Juni</v>
      </c>
      <c r="C17" s="1486"/>
      <c r="D17" s="1486"/>
      <c r="E17" s="1487">
        <f>E16</f>
        <v>102.0224</v>
      </c>
      <c r="F17" s="1487"/>
      <c r="G17" s="1487"/>
      <c r="H17" s="1487"/>
      <c r="I17" s="1487"/>
      <c r="J17" s="1487"/>
      <c r="K17" s="278"/>
      <c r="L17" s="278"/>
      <c r="M17" s="468" t="s">
        <v>403</v>
      </c>
      <c r="N17" s="468" t="s">
        <v>404</v>
      </c>
    </row>
    <row r="18" spans="1:14" ht="20.25" customHeight="1" x14ac:dyDescent="0.2">
      <c r="A18" s="411" t="s">
        <v>39</v>
      </c>
      <c r="B18" s="1486" t="str">
        <f>PERIODE!E9</f>
        <v>Juli - Desember</v>
      </c>
      <c r="C18" s="1486"/>
      <c r="D18" s="1486"/>
      <c r="E18" s="1487">
        <f>'PRESTASI KERJA2'!E17</f>
        <v>101.66</v>
      </c>
      <c r="F18" s="1487"/>
      <c r="G18" s="1487"/>
      <c r="H18" s="1487"/>
      <c r="I18" s="1487"/>
      <c r="J18" s="1487"/>
      <c r="K18" s="278"/>
      <c r="L18" s="278"/>
      <c r="M18" s="469" t="s">
        <v>405</v>
      </c>
      <c r="N18" s="468" t="s">
        <v>406</v>
      </c>
    </row>
    <row r="19" spans="1:14" s="377" customFormat="1" ht="35.25" customHeight="1" x14ac:dyDescent="0.2">
      <c r="A19" s="412"/>
      <c r="B19" s="1501" t="s">
        <v>549</v>
      </c>
      <c r="C19" s="1501"/>
      <c r="D19" s="1501"/>
      <c r="E19" s="1502">
        <f>(E17/2)+(E18/2)</f>
        <v>101.8412</v>
      </c>
      <c r="F19" s="1502"/>
      <c r="G19" s="1502"/>
      <c r="H19" s="1502"/>
      <c r="I19" s="1502"/>
      <c r="J19" s="1502"/>
      <c r="K19" s="391"/>
      <c r="L19" s="391"/>
      <c r="M19" s="470" t="s">
        <v>407</v>
      </c>
      <c r="N19" s="471" t="s">
        <v>408</v>
      </c>
    </row>
    <row r="20" spans="1:14" s="377" customFormat="1" ht="20.25" customHeight="1" x14ac:dyDescent="0.2">
      <c r="A20" s="412"/>
      <c r="B20" s="1503" t="s">
        <v>70</v>
      </c>
      <c r="C20" s="1503"/>
      <c r="D20" s="1503"/>
      <c r="E20" s="1504" t="str">
        <f>VLOOKUP(D21,adaide,4)</f>
        <v>Baik</v>
      </c>
      <c r="F20" s="1504"/>
      <c r="G20" s="1504"/>
      <c r="H20" s="1504"/>
      <c r="I20" s="1504"/>
      <c r="J20" s="1504"/>
      <c r="K20" s="391"/>
      <c r="L20" s="391"/>
      <c r="M20" s="470" t="s">
        <v>409</v>
      </c>
      <c r="N20" s="471" t="s">
        <v>410</v>
      </c>
    </row>
    <row r="21" spans="1:14" s="377" customFormat="1" ht="15" customHeight="1" x14ac:dyDescent="0.2">
      <c r="A21" s="413"/>
      <c r="B21" s="6">
        <f>INT(E19)</f>
        <v>101</v>
      </c>
      <c r="C21" s="4" t="str">
        <f>IF(E19&gt;0,"ada","tidak ada")</f>
        <v>ada</v>
      </c>
      <c r="D21" s="5" t="str">
        <f>B21&amp;C21</f>
        <v>101ada</v>
      </c>
      <c r="E21" s="414"/>
      <c r="F21" s="415"/>
      <c r="G21" s="414"/>
      <c r="H21" s="415"/>
      <c r="I21" s="414"/>
      <c r="J21" s="416"/>
      <c r="K21" s="391"/>
      <c r="L21" s="391"/>
      <c r="M21" s="470" t="s">
        <v>411</v>
      </c>
      <c r="N21" s="471" t="s">
        <v>412</v>
      </c>
    </row>
    <row r="22" spans="1:14" ht="14.25" customHeight="1" x14ac:dyDescent="0.25">
      <c r="A22" s="367"/>
      <c r="B22" s="367"/>
      <c r="C22" s="367"/>
      <c r="D22" s="367"/>
      <c r="E22" s="367"/>
      <c r="F22" s="396" t="str">
        <f>"Sleman, "&amp;C13</f>
        <v>Sleman, 10 Januari 2022</v>
      </c>
      <c r="G22" s="397"/>
      <c r="H22" s="398"/>
      <c r="I22" s="398"/>
      <c r="J22" s="398"/>
      <c r="K22" s="278"/>
      <c r="L22" s="278"/>
      <c r="M22" s="278"/>
      <c r="N22" s="278"/>
    </row>
    <row r="23" spans="1:14" ht="14.25" customHeight="1" x14ac:dyDescent="0.25">
      <c r="A23" s="367"/>
      <c r="B23" s="398" t="s">
        <v>9</v>
      </c>
      <c r="C23" s="397"/>
      <c r="D23" s="398"/>
      <c r="E23" s="417"/>
      <c r="F23" s="396" t="s">
        <v>13</v>
      </c>
      <c r="G23" s="397"/>
      <c r="H23" s="398"/>
      <c r="I23" s="398"/>
      <c r="J23" s="398"/>
      <c r="K23" s="278"/>
      <c r="L23" s="278"/>
      <c r="M23" s="278"/>
      <c r="N23" s="278"/>
    </row>
    <row r="24" spans="1:14" ht="14.25" customHeight="1" x14ac:dyDescent="0.25">
      <c r="A24" s="367"/>
      <c r="B24" s="366"/>
      <c r="C24" s="397"/>
      <c r="D24" s="367"/>
      <c r="E24" s="367"/>
      <c r="F24" s="395"/>
      <c r="G24" s="397"/>
      <c r="H24" s="367"/>
      <c r="I24" s="367"/>
      <c r="J24" s="367"/>
      <c r="K24" s="278"/>
      <c r="L24" s="278"/>
      <c r="M24" s="278"/>
      <c r="N24" s="278"/>
    </row>
    <row r="25" spans="1:14" ht="14.25" customHeight="1" x14ac:dyDescent="0.25">
      <c r="A25" s="367"/>
      <c r="B25" s="367"/>
      <c r="C25" s="397"/>
      <c r="D25" s="367"/>
      <c r="E25" s="367"/>
      <c r="F25" s="395"/>
      <c r="G25" s="397"/>
      <c r="H25" s="367"/>
      <c r="I25" s="367"/>
      <c r="J25" s="367"/>
      <c r="K25" s="278"/>
      <c r="L25" s="278"/>
      <c r="M25" s="278"/>
      <c r="N25" s="278"/>
    </row>
    <row r="26" spans="1:14" ht="14.25" customHeight="1" x14ac:dyDescent="0.25">
      <c r="A26" s="367"/>
      <c r="B26" s="367"/>
      <c r="C26" s="397"/>
      <c r="D26" s="367"/>
      <c r="E26" s="367"/>
      <c r="F26" s="395"/>
      <c r="G26" s="397"/>
      <c r="H26" s="367"/>
      <c r="I26" s="367"/>
      <c r="J26" s="367"/>
      <c r="K26" s="278"/>
      <c r="L26" s="278"/>
      <c r="M26" s="278"/>
      <c r="N26" s="278"/>
    </row>
    <row r="27" spans="1:14" ht="14.25" customHeight="1" x14ac:dyDescent="0.25">
      <c r="A27" s="367"/>
      <c r="B27" s="367"/>
      <c r="C27" s="397"/>
      <c r="D27" s="367"/>
      <c r="E27" s="367"/>
      <c r="F27" s="395"/>
      <c r="G27" s="397"/>
      <c r="H27" s="367"/>
      <c r="I27" s="367"/>
      <c r="J27" s="367"/>
      <c r="K27" s="278"/>
      <c r="L27" s="278"/>
      <c r="M27" s="278"/>
      <c r="N27" s="278"/>
    </row>
    <row r="28" spans="1:14" ht="14.25" customHeight="1" x14ac:dyDescent="0.25">
      <c r="A28" s="367"/>
      <c r="B28" s="402" t="str">
        <f>C7</f>
        <v>Sirajudin, S.Pd</v>
      </c>
      <c r="C28" s="397"/>
      <c r="D28" s="402"/>
      <c r="E28" s="417"/>
      <c r="F28" s="401" t="str">
        <f>G7</f>
        <v>Drs. Busyroni Majid, M.Si</v>
      </c>
      <c r="G28" s="397"/>
      <c r="H28" s="402"/>
      <c r="I28" s="402"/>
      <c r="J28" s="402"/>
      <c r="K28" s="278"/>
      <c r="L28" s="278"/>
      <c r="M28" s="278"/>
      <c r="N28" s="278"/>
    </row>
    <row r="29" spans="1:14" ht="14.25" customHeight="1" x14ac:dyDescent="0.25">
      <c r="A29" s="367"/>
      <c r="B29" s="398" t="str">
        <f>"NIP. "&amp;C8</f>
        <v>NIP. 19730115 200710 1 001</v>
      </c>
      <c r="C29" s="397"/>
      <c r="D29" s="398"/>
      <c r="E29" s="367"/>
      <c r="F29" s="396" t="str">
        <f>"NIP."&amp;G8</f>
        <v>NIP.19690921 199503 1 001</v>
      </c>
      <c r="G29" s="397"/>
      <c r="H29" s="398"/>
      <c r="I29" s="398"/>
      <c r="J29" s="398"/>
      <c r="K29" s="278"/>
      <c r="L29" s="278"/>
      <c r="M29" s="278"/>
      <c r="N29" s="278"/>
    </row>
    <row r="30" spans="1:14" x14ac:dyDescent="0.2">
      <c r="A30" s="1400"/>
      <c r="B30" s="1400"/>
      <c r="C30" s="1400"/>
      <c r="D30" s="1400"/>
      <c r="E30" s="403"/>
      <c r="F30" s="397"/>
      <c r="G30" s="397"/>
      <c r="H30" s="397"/>
      <c r="I30" s="397"/>
      <c r="J30" s="397"/>
      <c r="K30" s="278"/>
      <c r="L30" s="278"/>
      <c r="M30" s="278"/>
      <c r="N30" s="278"/>
    </row>
    <row r="31" spans="1:14" x14ac:dyDescent="0.2">
      <c r="A31" s="397"/>
      <c r="B31" s="397"/>
      <c r="C31" s="397"/>
      <c r="D31" s="397"/>
      <c r="E31" s="397"/>
      <c r="F31" s="397"/>
      <c r="G31" s="397"/>
      <c r="H31" s="397"/>
      <c r="I31" s="397"/>
      <c r="J31" s="397"/>
      <c r="K31" s="278"/>
      <c r="L31" s="278"/>
      <c r="M31" s="278"/>
      <c r="N31" s="278"/>
    </row>
    <row r="32" spans="1:14" x14ac:dyDescent="0.2">
      <c r="A32" s="397"/>
      <c r="B32" s="397"/>
      <c r="C32" s="397"/>
      <c r="D32" s="397"/>
      <c r="E32" s="397"/>
      <c r="F32" s="397"/>
      <c r="G32" s="397"/>
      <c r="H32" s="397"/>
      <c r="I32" s="397"/>
      <c r="J32" s="397"/>
      <c r="K32" s="278"/>
      <c r="L32" s="278"/>
      <c r="M32" s="278"/>
      <c r="N32" s="278"/>
    </row>
    <row r="34" spans="11:11" x14ac:dyDescent="0.2">
      <c r="K34" s="273" t="s">
        <v>60</v>
      </c>
    </row>
  </sheetData>
  <sheetProtection formatColumns="0" formatRows="0" insertColumns="0" insertRows="0"/>
  <mergeCells count="31">
    <mergeCell ref="B18:D18"/>
    <mergeCell ref="E18:J18"/>
    <mergeCell ref="B19:D19"/>
    <mergeCell ref="E19:J19"/>
    <mergeCell ref="A30:D30"/>
    <mergeCell ref="B20:D20"/>
    <mergeCell ref="E20:J20"/>
    <mergeCell ref="B17:D17"/>
    <mergeCell ref="E17:J17"/>
    <mergeCell ref="A14:J14"/>
    <mergeCell ref="A13:B13"/>
    <mergeCell ref="E8:F8"/>
    <mergeCell ref="G8:J8"/>
    <mergeCell ref="E9:F9"/>
    <mergeCell ref="G9:J9"/>
    <mergeCell ref="E10:F10"/>
    <mergeCell ref="G10:J10"/>
    <mergeCell ref="E16:J16"/>
    <mergeCell ref="E11:F11"/>
    <mergeCell ref="G11:J11"/>
    <mergeCell ref="C13:J13"/>
    <mergeCell ref="B15:D15"/>
    <mergeCell ref="E15:J15"/>
    <mergeCell ref="M14:N14"/>
    <mergeCell ref="B16:D16"/>
    <mergeCell ref="A1:J1"/>
    <mergeCell ref="A2:J2"/>
    <mergeCell ref="B6:C6"/>
    <mergeCell ref="E6:J6"/>
    <mergeCell ref="E7:F7"/>
    <mergeCell ref="G7:J7"/>
  </mergeCells>
  <pageMargins left="0.5" right="0.19" top="0.51" bottom="0.71" header="0.511811023622047" footer="0.15"/>
  <pageSetup paperSize="9" scale="87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3AF83-BEC4-4D48-8823-175A61C6697D}">
  <sheetPr>
    <tabColor theme="1"/>
    <pageSetUpPr fitToPage="1"/>
  </sheetPr>
  <dimension ref="A1:G50"/>
  <sheetViews>
    <sheetView workbookViewId="0">
      <selection sqref="A1:D1"/>
    </sheetView>
  </sheetViews>
  <sheetFormatPr defaultColWidth="0" defaultRowHeight="14.25" x14ac:dyDescent="0.2"/>
  <cols>
    <col min="1" max="1" width="3" style="649" customWidth="1"/>
    <col min="2" max="2" width="37.28515625" style="649" customWidth="1"/>
    <col min="3" max="3" width="1.85546875" style="649" customWidth="1"/>
    <col min="4" max="4" width="52.140625" style="649" customWidth="1"/>
    <col min="5" max="7" width="9.140625" style="649" customWidth="1"/>
    <col min="8" max="16384" width="9.140625" style="649" hidden="1"/>
  </cols>
  <sheetData>
    <row r="1" spans="1:4" ht="18" x14ac:dyDescent="0.2">
      <c r="A1" s="1505" t="s">
        <v>534</v>
      </c>
      <c r="B1" s="1505"/>
      <c r="C1" s="1505"/>
      <c r="D1" s="1505"/>
    </row>
    <row r="2" spans="1:4" x14ac:dyDescent="0.2">
      <c r="A2" s="650"/>
      <c r="B2" s="650"/>
      <c r="C2" s="650"/>
      <c r="D2" s="650"/>
    </row>
    <row r="3" spans="1:4" ht="15" x14ac:dyDescent="0.2">
      <c r="A3" s="1460" t="s">
        <v>55</v>
      </c>
      <c r="B3" s="1460"/>
      <c r="C3" s="938" t="s">
        <v>16</v>
      </c>
      <c r="D3" s="938" t="str">
        <f>'DATA SKP2'!F3</f>
        <v>MTs Negeri 5 Sleman</v>
      </c>
    </row>
    <row r="4" spans="1:4" ht="15" x14ac:dyDescent="0.2">
      <c r="A4" s="1460" t="s">
        <v>37</v>
      </c>
      <c r="B4" s="1460"/>
      <c r="C4" s="938" t="s">
        <v>16</v>
      </c>
      <c r="D4" s="938" t="str">
        <f>PERIODE!E22</f>
        <v>01 Januari s/d 31 Desember 2021</v>
      </c>
    </row>
    <row r="5" spans="1:4" x14ac:dyDescent="0.2">
      <c r="A5" s="650"/>
      <c r="B5" s="650"/>
      <c r="C5" s="650"/>
      <c r="D5" s="650"/>
    </row>
    <row r="6" spans="1:4" ht="15" x14ac:dyDescent="0.2">
      <c r="A6" s="1458">
        <v>1</v>
      </c>
      <c r="B6" s="1461" t="s">
        <v>85</v>
      </c>
      <c r="C6" s="1461"/>
      <c r="D6" s="1461"/>
    </row>
    <row r="7" spans="1:4" ht="14.25" customHeight="1" x14ac:dyDescent="0.2">
      <c r="A7" s="1458"/>
      <c r="B7" s="652" t="s">
        <v>535</v>
      </c>
      <c r="C7" s="937" t="s">
        <v>16</v>
      </c>
      <c r="D7" s="652" t="str">
        <f>'DATA SKP2'!F6</f>
        <v>Sirajudin, S.Pd</v>
      </c>
    </row>
    <row r="8" spans="1:4" ht="14.25" customHeight="1" x14ac:dyDescent="0.2">
      <c r="A8" s="1458"/>
      <c r="B8" s="652" t="s">
        <v>3</v>
      </c>
      <c r="C8" s="937" t="s">
        <v>16</v>
      </c>
      <c r="D8" s="652" t="str">
        <f>'DATA SKP2'!F7</f>
        <v>19730115 200710 1 001</v>
      </c>
    </row>
    <row r="9" spans="1:4" ht="14.25" customHeight="1" x14ac:dyDescent="0.2">
      <c r="A9" s="1458"/>
      <c r="B9" s="652" t="s">
        <v>536</v>
      </c>
      <c r="C9" s="937" t="s">
        <v>16</v>
      </c>
      <c r="D9" s="652" t="str">
        <f>'DATA SKP2'!F8</f>
        <v>Penata Muda, Gol. III/a</v>
      </c>
    </row>
    <row r="10" spans="1:4" ht="14.25" customHeight="1" x14ac:dyDescent="0.2">
      <c r="A10" s="1458"/>
      <c r="B10" s="652" t="s">
        <v>537</v>
      </c>
      <c r="C10" s="937" t="s">
        <v>16</v>
      </c>
      <c r="D10" s="652" t="str">
        <f>'DATA SKP2'!F9</f>
        <v>Guru Pertama</v>
      </c>
    </row>
    <row r="11" spans="1:4" ht="14.25" customHeight="1" x14ac:dyDescent="0.2">
      <c r="A11" s="1458"/>
      <c r="B11" s="652" t="s">
        <v>55</v>
      </c>
      <c r="C11" s="937" t="s">
        <v>16</v>
      </c>
      <c r="D11" s="652" t="str">
        <f>'DATA SKP2'!F10</f>
        <v>MTs Negeri 5 Sleman</v>
      </c>
    </row>
    <row r="12" spans="1:4" ht="14.25" customHeight="1" x14ac:dyDescent="0.2">
      <c r="A12" s="1458"/>
      <c r="B12" s="1458"/>
      <c r="C12" s="1458"/>
      <c r="D12" s="1458"/>
    </row>
    <row r="13" spans="1:4" ht="15" x14ac:dyDescent="0.2">
      <c r="A13" s="1458">
        <v>2</v>
      </c>
      <c r="B13" s="1461" t="s">
        <v>86</v>
      </c>
      <c r="C13" s="1461"/>
      <c r="D13" s="1461"/>
    </row>
    <row r="14" spans="1:4" x14ac:dyDescent="0.2">
      <c r="A14" s="1458"/>
      <c r="B14" s="652" t="s">
        <v>535</v>
      </c>
      <c r="C14" s="937" t="s">
        <v>16</v>
      </c>
      <c r="D14" s="652" t="str">
        <f>'DATA SKP2'!F12</f>
        <v>Drs. Busyroni Majid, M.Si</v>
      </c>
    </row>
    <row r="15" spans="1:4" x14ac:dyDescent="0.2">
      <c r="A15" s="1458"/>
      <c r="B15" s="652" t="s">
        <v>3</v>
      </c>
      <c r="C15" s="937" t="s">
        <v>16</v>
      </c>
      <c r="D15" s="652" t="str">
        <f>'DATA SKP2'!F13</f>
        <v>19690921 199503 1 001</v>
      </c>
    </row>
    <row r="16" spans="1:4" x14ac:dyDescent="0.2">
      <c r="A16" s="1458"/>
      <c r="B16" s="652" t="s">
        <v>536</v>
      </c>
      <c r="C16" s="937" t="s">
        <v>16</v>
      </c>
      <c r="D16" s="652" t="str">
        <f>'DATA SKP2'!F14</f>
        <v>Pembina, Gol. IV/a</v>
      </c>
    </row>
    <row r="17" spans="1:4" x14ac:dyDescent="0.2">
      <c r="A17" s="1458"/>
      <c r="B17" s="652" t="s">
        <v>537</v>
      </c>
      <c r="C17" s="937" t="s">
        <v>16</v>
      </c>
      <c r="D17" s="652" t="str">
        <f>'DATA SKP2'!F15</f>
        <v>Guru Madya</v>
      </c>
    </row>
    <row r="18" spans="1:4" x14ac:dyDescent="0.2">
      <c r="A18" s="1458"/>
      <c r="B18" s="652" t="s">
        <v>55</v>
      </c>
      <c r="C18" s="937" t="s">
        <v>16</v>
      </c>
      <c r="D18" s="652" t="str">
        <f>'DATA SKP2'!F16</f>
        <v>MTs Negeri 5 Sleman</v>
      </c>
    </row>
    <row r="19" spans="1:4" x14ac:dyDescent="0.2">
      <c r="A19" s="1458"/>
      <c r="B19" s="1458"/>
      <c r="C19" s="1458"/>
      <c r="D19" s="1458"/>
    </row>
    <row r="20" spans="1:4" ht="15" x14ac:dyDescent="0.2">
      <c r="A20" s="1458">
        <v>3</v>
      </c>
      <c r="B20" s="1461" t="s">
        <v>538</v>
      </c>
      <c r="C20" s="1461"/>
      <c r="D20" s="1461"/>
    </row>
    <row r="21" spans="1:4" x14ac:dyDescent="0.2">
      <c r="A21" s="1458"/>
      <c r="B21" s="652" t="s">
        <v>535</v>
      </c>
      <c r="C21" s="937" t="s">
        <v>16</v>
      </c>
      <c r="D21" s="652" t="str">
        <f>'DATA SKP2'!F18</f>
        <v>H. Sidik Pramono, S.Ag, M.Si</v>
      </c>
    </row>
    <row r="22" spans="1:4" x14ac:dyDescent="0.2">
      <c r="A22" s="1458"/>
      <c r="B22" s="652" t="s">
        <v>3</v>
      </c>
      <c r="C22" s="937" t="s">
        <v>16</v>
      </c>
      <c r="D22" s="652" t="str">
        <f>'DATA SKP2'!F19</f>
        <v>19700303 199703 1 004</v>
      </c>
    </row>
    <row r="23" spans="1:4" x14ac:dyDescent="0.2">
      <c r="A23" s="1458"/>
      <c r="B23" s="652" t="s">
        <v>536</v>
      </c>
      <c r="C23" s="937" t="s">
        <v>16</v>
      </c>
      <c r="D23" s="652" t="str">
        <f>'DATA SKP2'!F20</f>
        <v>Pembina / IVa</v>
      </c>
    </row>
    <row r="24" spans="1:4" x14ac:dyDescent="0.2">
      <c r="A24" s="1458"/>
      <c r="B24" s="652" t="s">
        <v>537</v>
      </c>
      <c r="C24" s="937" t="s">
        <v>16</v>
      </c>
      <c r="D24" s="652" t="str">
        <f>'DATA SKP2'!F21</f>
        <v>Kepala Kantor Kementerian Agama Kab. Sleman</v>
      </c>
    </row>
    <row r="25" spans="1:4" x14ac:dyDescent="0.2">
      <c r="A25" s="1458"/>
      <c r="B25" s="652" t="s">
        <v>55</v>
      </c>
      <c r="C25" s="937" t="s">
        <v>16</v>
      </c>
      <c r="D25" s="652" t="str">
        <f>'DATA SKP2'!F22</f>
        <v>Kantor Kemenag Kabupaten Sleman</v>
      </c>
    </row>
    <row r="26" spans="1:4" x14ac:dyDescent="0.2">
      <c r="A26" s="1458"/>
      <c r="B26" s="1458"/>
      <c r="C26" s="1458"/>
      <c r="D26" s="1458"/>
    </row>
    <row r="27" spans="1:4" ht="15" x14ac:dyDescent="0.2">
      <c r="A27" s="1458">
        <v>4</v>
      </c>
      <c r="B27" s="1461" t="s">
        <v>539</v>
      </c>
      <c r="C27" s="1461"/>
      <c r="D27" s="1461"/>
    </row>
    <row r="28" spans="1:4" ht="15" x14ac:dyDescent="0.2">
      <c r="A28" s="1458"/>
      <c r="B28" s="652" t="s">
        <v>540</v>
      </c>
      <c r="C28" s="937" t="s">
        <v>16</v>
      </c>
      <c r="D28" s="945">
        <f>('Konversi Nilai'!L14*50%)+('Penilaian Kinerja'!H15*50%)</f>
        <v>102.13333333333333</v>
      </c>
    </row>
    <row r="29" spans="1:4" ht="15" x14ac:dyDescent="0.2">
      <c r="A29" s="1458"/>
      <c r="B29" s="652" t="s">
        <v>541</v>
      </c>
      <c r="C29" s="937" t="s">
        <v>16</v>
      </c>
      <c r="D29" s="945">
        <f>('Konversi Nilai'!L15*50%)+('Penilaian Kinerja'!H16*50%)</f>
        <v>101.37142857142857</v>
      </c>
    </row>
    <row r="30" spans="1:4" ht="15" x14ac:dyDescent="0.2">
      <c r="A30" s="1458"/>
      <c r="B30" s="652" t="s">
        <v>542</v>
      </c>
      <c r="C30" s="937" t="s">
        <v>16</v>
      </c>
      <c r="D30" s="945">
        <f>('Konversi Nilai'!L16*50%)+('Penilaian Kinerja'!H17*50%)</f>
        <v>101.82107142857143</v>
      </c>
    </row>
    <row r="31" spans="1:4" ht="15" x14ac:dyDescent="0.2">
      <c r="A31" s="1458"/>
      <c r="B31" s="652" t="s">
        <v>543</v>
      </c>
      <c r="C31" s="937" t="s">
        <v>16</v>
      </c>
      <c r="D31" s="948">
        <f>'Penilaian Kinerja'!H18</f>
        <v>0</v>
      </c>
    </row>
    <row r="32" spans="1:4" ht="15" x14ac:dyDescent="0.2">
      <c r="A32" s="1458"/>
      <c r="B32" s="652" t="s">
        <v>544</v>
      </c>
      <c r="C32" s="937" t="s">
        <v>16</v>
      </c>
      <c r="D32" s="945">
        <f>SUM(D30:D31)</f>
        <v>101.82107142857143</v>
      </c>
    </row>
    <row r="33" spans="1:4" ht="15" x14ac:dyDescent="0.2">
      <c r="A33" s="1458"/>
      <c r="B33" s="652" t="s">
        <v>545</v>
      </c>
      <c r="C33" s="937" t="s">
        <v>16</v>
      </c>
      <c r="D33" s="949" t="str">
        <f>IF((AND(D32&gt;109,D32&lt;121,D31&gt;0)),"(Sangat Baik)",IF((AND(D32&gt;89,D32&lt;121)),"(Baik)",IF((AND(D32&gt;69,D32&lt;90)),"(Cukup)",IF((AND(D32&gt;49,D32&lt;70)),"(Kurang)","(Sangat Kurang)"))))</f>
        <v>(Baik)</v>
      </c>
    </row>
    <row r="34" spans="1:4" ht="42.75" x14ac:dyDescent="0.2">
      <c r="A34" s="1458"/>
      <c r="B34" s="652" t="s">
        <v>546</v>
      </c>
      <c r="C34" s="937" t="s">
        <v>16</v>
      </c>
      <c r="D34" s="950">
        <f>'PENGUKURAN SKP'!M22+'KETERKAITAN JF'!L26</f>
        <v>14.85</v>
      </c>
    </row>
    <row r="35" spans="1:4" x14ac:dyDescent="0.2">
      <c r="A35" s="1458"/>
      <c r="B35" s="1458"/>
      <c r="C35" s="1458"/>
      <c r="D35" s="1458"/>
    </row>
    <row r="36" spans="1:4" ht="15" x14ac:dyDescent="0.2">
      <c r="A36" s="1458">
        <v>5</v>
      </c>
      <c r="B36" s="1461" t="s">
        <v>547</v>
      </c>
      <c r="C36" s="1461"/>
      <c r="D36" s="1461"/>
    </row>
    <row r="37" spans="1:4" x14ac:dyDescent="0.2">
      <c r="A37" s="1458"/>
      <c r="B37" s="1464" t="s">
        <v>15</v>
      </c>
      <c r="C37" s="1464"/>
      <c r="D37" s="1464"/>
    </row>
    <row r="38" spans="1:4" x14ac:dyDescent="0.2">
      <c r="A38" s="1458"/>
      <c r="B38" s="1458"/>
      <c r="C38" s="1458"/>
      <c r="D38" s="1458"/>
    </row>
    <row r="39" spans="1:4" ht="15" x14ac:dyDescent="0.2">
      <c r="A39" s="1458">
        <v>6</v>
      </c>
      <c r="B39" s="1461" t="s">
        <v>51</v>
      </c>
      <c r="C39" s="1461"/>
      <c r="D39" s="1461"/>
    </row>
    <row r="40" spans="1:4" x14ac:dyDescent="0.2">
      <c r="A40" s="1458"/>
      <c r="B40" s="1464" t="s">
        <v>15</v>
      </c>
      <c r="C40" s="1464"/>
      <c r="D40" s="1464"/>
    </row>
    <row r="41" spans="1:4" x14ac:dyDescent="0.2">
      <c r="A41" s="1465"/>
      <c r="B41" s="1466"/>
      <c r="C41" s="1466"/>
      <c r="D41" s="1467"/>
    </row>
    <row r="42" spans="1:4" x14ac:dyDescent="0.2">
      <c r="A42" s="1462" t="s">
        <v>687</v>
      </c>
      <c r="B42" s="1463"/>
      <c r="C42" s="1463"/>
      <c r="D42" s="654" t="s">
        <v>688</v>
      </c>
    </row>
    <row r="43" spans="1:4" x14ac:dyDescent="0.2">
      <c r="A43" s="1462" t="s">
        <v>548</v>
      </c>
      <c r="B43" s="1463"/>
      <c r="C43" s="1463"/>
      <c r="D43" s="654" t="s">
        <v>523</v>
      </c>
    </row>
    <row r="44" spans="1:4" x14ac:dyDescent="0.2">
      <c r="A44" s="1462"/>
      <c r="B44" s="1463"/>
      <c r="C44" s="1463"/>
      <c r="D44" s="654"/>
    </row>
    <row r="45" spans="1:4" x14ac:dyDescent="0.2">
      <c r="A45" s="1462"/>
      <c r="B45" s="1463"/>
      <c r="C45" s="1463"/>
      <c r="D45" s="654"/>
    </row>
    <row r="46" spans="1:4" x14ac:dyDescent="0.2">
      <c r="A46" s="1462"/>
      <c r="B46" s="1463"/>
      <c r="C46" s="1463"/>
      <c r="D46" s="654"/>
    </row>
    <row r="47" spans="1:4" x14ac:dyDescent="0.2">
      <c r="A47" s="1462"/>
      <c r="B47" s="1463"/>
      <c r="C47" s="1463"/>
      <c r="D47" s="654"/>
    </row>
    <row r="48" spans="1:4" x14ac:dyDescent="0.2">
      <c r="A48" s="1462" t="str">
        <f>D7</f>
        <v>Sirajudin, S.Pd</v>
      </c>
      <c r="B48" s="1463"/>
      <c r="C48" s="1463"/>
      <c r="D48" s="654" t="str">
        <f>D14</f>
        <v>Drs. Busyroni Majid, M.Si</v>
      </c>
    </row>
    <row r="49" spans="1:4" x14ac:dyDescent="0.2">
      <c r="A49" s="1462" t="str">
        <f>"NIP. "&amp;D8</f>
        <v>NIP. 19730115 200710 1 001</v>
      </c>
      <c r="B49" s="1463"/>
      <c r="C49" s="1463"/>
      <c r="D49" s="654" t="str">
        <f>"NIP. "&amp;D15</f>
        <v>NIP. 19690921 199503 1 001</v>
      </c>
    </row>
    <row r="50" spans="1:4" x14ac:dyDescent="0.2">
      <c r="A50" s="1468"/>
      <c r="B50" s="1469"/>
      <c r="C50" s="1469"/>
      <c r="D50" s="655"/>
    </row>
  </sheetData>
  <mergeCells count="32">
    <mergeCell ref="A26:D26"/>
    <mergeCell ref="A1:D1"/>
    <mergeCell ref="A3:B3"/>
    <mergeCell ref="A4:B4"/>
    <mergeCell ref="A6:A11"/>
    <mergeCell ref="B6:D6"/>
    <mergeCell ref="A12:D12"/>
    <mergeCell ref="A13:A18"/>
    <mergeCell ref="B13:D13"/>
    <mergeCell ref="A19:D19"/>
    <mergeCell ref="A20:A25"/>
    <mergeCell ref="B20:D20"/>
    <mergeCell ref="A42:C42"/>
    <mergeCell ref="A27:A34"/>
    <mergeCell ref="B27:D27"/>
    <mergeCell ref="A35:D35"/>
    <mergeCell ref="A36:A37"/>
    <mergeCell ref="B36:D36"/>
    <mergeCell ref="B37:D37"/>
    <mergeCell ref="A38:D38"/>
    <mergeCell ref="A39:A40"/>
    <mergeCell ref="B39:D39"/>
    <mergeCell ref="B40:D40"/>
    <mergeCell ref="A41:D41"/>
    <mergeCell ref="A49:C49"/>
    <mergeCell ref="A50:C50"/>
    <mergeCell ref="A43:C43"/>
    <mergeCell ref="A44:C44"/>
    <mergeCell ref="A45:C45"/>
    <mergeCell ref="A46:C46"/>
    <mergeCell ref="A47:C47"/>
    <mergeCell ref="A48:C48"/>
  </mergeCells>
  <hyperlinks>
    <hyperlink ref="A1:D1" location="Menu!A1" display="LAPORAN DOKUMEN PENILAIAN KINERJA" xr:uid="{C29A61E5-716A-4973-A0C9-336D48D2F368}"/>
  </hyperlinks>
  <printOptions horizontalCentered="1"/>
  <pageMargins left="1.1023622047244095" right="0.70866141732283472" top="0.74803149606299213" bottom="0.74803149606299213" header="0.31496062992125984" footer="0.31496062992125984"/>
  <pageSetup paperSize="9" scale="9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40"/>
  <sheetViews>
    <sheetView topLeftCell="A4" workbookViewId="0">
      <selection sqref="A1:E1"/>
    </sheetView>
  </sheetViews>
  <sheetFormatPr defaultColWidth="0" defaultRowHeight="15" zeroHeight="1" x14ac:dyDescent="0.2"/>
  <cols>
    <col min="1" max="1" width="3.85546875" style="874" customWidth="1"/>
    <col min="2" max="2" width="4.140625" style="874" customWidth="1"/>
    <col min="3" max="3" width="63.7109375" style="874" customWidth="1"/>
    <col min="4" max="4" width="4.28515625" style="874" customWidth="1"/>
    <col min="5" max="5" width="35.85546875" style="874" customWidth="1"/>
    <col min="6" max="6" width="6" style="874" customWidth="1"/>
    <col min="7" max="10" width="9.140625" style="273" customWidth="1"/>
    <col min="11" max="16384" width="9.140625" style="273" hidden="1"/>
  </cols>
  <sheetData>
    <row r="1" spans="1:10" ht="23.25" customHeight="1" x14ac:dyDescent="0.2">
      <c r="A1" s="953" t="s">
        <v>75</v>
      </c>
      <c r="B1" s="953"/>
      <c r="C1" s="953"/>
      <c r="D1" s="953"/>
      <c r="E1" s="953"/>
      <c r="F1" s="875"/>
      <c r="G1" s="876"/>
      <c r="H1" s="876"/>
      <c r="I1" s="876"/>
      <c r="J1" s="876"/>
    </row>
    <row r="2" spans="1:10" ht="5.25" customHeight="1" x14ac:dyDescent="0.2">
      <c r="A2" s="859"/>
      <c r="B2" s="859"/>
      <c r="C2" s="859"/>
      <c r="D2" s="859"/>
      <c r="E2" s="859"/>
      <c r="F2" s="859"/>
      <c r="G2" s="858"/>
      <c r="H2" s="858"/>
      <c r="I2" s="858"/>
      <c r="J2" s="858"/>
    </row>
    <row r="3" spans="1:10" ht="18.75" x14ac:dyDescent="0.2">
      <c r="A3" s="877" t="s">
        <v>619</v>
      </c>
      <c r="B3" s="877"/>
      <c r="C3" s="877"/>
      <c r="D3" s="877" t="s">
        <v>16</v>
      </c>
      <c r="E3" s="860" t="s">
        <v>620</v>
      </c>
      <c r="F3" s="860"/>
      <c r="G3" s="858"/>
      <c r="H3" s="858"/>
      <c r="I3" s="858"/>
      <c r="J3" s="858"/>
    </row>
    <row r="4" spans="1:10" ht="15.75" x14ac:dyDescent="0.2">
      <c r="A4" s="878"/>
      <c r="B4" s="879" t="s">
        <v>55</v>
      </c>
      <c r="C4" s="879"/>
      <c r="D4" s="880" t="s">
        <v>16</v>
      </c>
      <c r="E4" s="862" t="s">
        <v>682</v>
      </c>
      <c r="F4" s="861"/>
      <c r="G4" s="858"/>
      <c r="H4" s="858"/>
      <c r="I4" s="858"/>
      <c r="J4" s="858"/>
    </row>
    <row r="5" spans="1:10" ht="15.75" x14ac:dyDescent="0.2">
      <c r="A5" s="878"/>
      <c r="B5" s="879" t="s">
        <v>81</v>
      </c>
      <c r="C5" s="879"/>
      <c r="D5" s="880" t="s">
        <v>16</v>
      </c>
      <c r="E5" s="862" t="s">
        <v>692</v>
      </c>
      <c r="F5" s="861"/>
      <c r="G5" s="858"/>
      <c r="H5" s="858"/>
      <c r="I5" s="858"/>
      <c r="J5" s="858"/>
    </row>
    <row r="6" spans="1:10" ht="15.75" x14ac:dyDescent="0.2">
      <c r="A6" s="878"/>
      <c r="B6" s="879" t="s">
        <v>79</v>
      </c>
      <c r="C6" s="879"/>
      <c r="D6" s="880" t="s">
        <v>16</v>
      </c>
      <c r="E6" s="862" t="s">
        <v>626</v>
      </c>
      <c r="F6" s="861"/>
      <c r="G6" s="858"/>
      <c r="H6" s="858"/>
      <c r="I6" s="858"/>
      <c r="J6" s="858"/>
    </row>
    <row r="7" spans="1:10" ht="15.75" x14ac:dyDescent="0.2">
      <c r="A7" s="878"/>
      <c r="B7" s="881" t="s">
        <v>76</v>
      </c>
      <c r="C7" s="882"/>
      <c r="D7" s="880" t="s">
        <v>16</v>
      </c>
      <c r="E7" s="863" t="s">
        <v>694</v>
      </c>
      <c r="F7" s="861"/>
      <c r="G7" s="858"/>
      <c r="H7" s="858"/>
      <c r="I7" s="858"/>
      <c r="J7" s="858"/>
    </row>
    <row r="8" spans="1:10" ht="18.75" x14ac:dyDescent="0.2">
      <c r="A8" s="883"/>
      <c r="B8" s="881" t="s">
        <v>693</v>
      </c>
      <c r="C8" s="882"/>
      <c r="D8" s="880" t="s">
        <v>16</v>
      </c>
      <c r="E8" s="863" t="s">
        <v>694</v>
      </c>
      <c r="F8" s="864"/>
      <c r="G8" s="876"/>
      <c r="H8" s="876"/>
      <c r="I8" s="876"/>
      <c r="J8" s="876"/>
    </row>
    <row r="9" spans="1:10" ht="18.75" x14ac:dyDescent="0.2">
      <c r="A9" s="877" t="s">
        <v>621</v>
      </c>
      <c r="B9" s="877"/>
      <c r="C9" s="877"/>
      <c r="D9" s="877" t="s">
        <v>16</v>
      </c>
      <c r="E9" s="860" t="s">
        <v>622</v>
      </c>
      <c r="F9" s="860"/>
      <c r="G9" s="876"/>
      <c r="H9" s="876"/>
      <c r="I9" s="876"/>
      <c r="J9" s="876"/>
    </row>
    <row r="10" spans="1:10" ht="18.75" x14ac:dyDescent="0.2">
      <c r="A10" s="879"/>
      <c r="B10" s="879" t="s">
        <v>695</v>
      </c>
      <c r="C10" s="879"/>
      <c r="D10" s="880" t="s">
        <v>16</v>
      </c>
      <c r="E10" s="862" t="s">
        <v>631</v>
      </c>
      <c r="F10" s="860"/>
      <c r="G10" s="876"/>
      <c r="H10" s="876"/>
      <c r="I10" s="876"/>
      <c r="J10" s="876"/>
    </row>
    <row r="11" spans="1:10" ht="16.5" customHeight="1" x14ac:dyDescent="0.2">
      <c r="A11" s="879"/>
      <c r="B11" s="879" t="s">
        <v>82</v>
      </c>
      <c r="C11" s="879"/>
      <c r="D11" s="880" t="s">
        <v>16</v>
      </c>
      <c r="E11" s="862" t="s">
        <v>696</v>
      </c>
      <c r="F11" s="861"/>
      <c r="G11" s="876"/>
      <c r="H11" s="876"/>
      <c r="I11" s="876"/>
      <c r="J11" s="876"/>
    </row>
    <row r="12" spans="1:10" ht="15.75" x14ac:dyDescent="0.2">
      <c r="A12" s="884"/>
      <c r="B12" s="879" t="s">
        <v>80</v>
      </c>
      <c r="C12" s="879"/>
      <c r="D12" s="880" t="s">
        <v>16</v>
      </c>
      <c r="E12" s="862" t="s">
        <v>644</v>
      </c>
      <c r="F12" s="865"/>
      <c r="G12" s="876"/>
      <c r="H12" s="876"/>
      <c r="I12" s="876"/>
      <c r="J12" s="876"/>
    </row>
    <row r="13" spans="1:10" ht="15.75" x14ac:dyDescent="0.2">
      <c r="A13" s="885"/>
      <c r="B13" s="881" t="s">
        <v>77</v>
      </c>
      <c r="C13" s="886"/>
      <c r="D13" s="880" t="s">
        <v>16</v>
      </c>
      <c r="E13" s="863" t="s">
        <v>550</v>
      </c>
      <c r="F13" s="866"/>
      <c r="G13" s="876"/>
      <c r="H13" s="876"/>
      <c r="I13" s="876"/>
      <c r="J13" s="876"/>
    </row>
    <row r="14" spans="1:10" ht="18.75" x14ac:dyDescent="0.2">
      <c r="A14" s="883"/>
      <c r="B14" s="879" t="s">
        <v>627</v>
      </c>
      <c r="C14" s="879"/>
      <c r="D14" s="880" t="s">
        <v>16</v>
      </c>
      <c r="E14" s="862" t="s">
        <v>631</v>
      </c>
      <c r="F14" s="864"/>
      <c r="G14" s="876"/>
      <c r="H14" s="876"/>
      <c r="I14" s="876"/>
      <c r="J14" s="876"/>
    </row>
    <row r="15" spans="1:10" ht="18.75" x14ac:dyDescent="0.2">
      <c r="A15" s="883"/>
      <c r="B15" s="879" t="s">
        <v>628</v>
      </c>
      <c r="C15" s="879"/>
      <c r="D15" s="880" t="s">
        <v>16</v>
      </c>
      <c r="E15" s="862" t="s">
        <v>631</v>
      </c>
      <c r="F15" s="864"/>
      <c r="G15" s="876"/>
      <c r="H15" s="876"/>
      <c r="I15" s="876"/>
      <c r="J15" s="876"/>
    </row>
    <row r="16" spans="1:10" ht="18.75" x14ac:dyDescent="0.2">
      <c r="A16" s="883"/>
      <c r="B16" s="881" t="s">
        <v>629</v>
      </c>
      <c r="C16" s="882"/>
      <c r="D16" s="880" t="s">
        <v>16</v>
      </c>
      <c r="E16" s="862" t="s">
        <v>694</v>
      </c>
      <c r="F16" s="864"/>
      <c r="G16" s="876"/>
      <c r="H16" s="876"/>
      <c r="I16" s="876"/>
      <c r="J16" s="876"/>
    </row>
    <row r="17" spans="1:10" ht="18.75" x14ac:dyDescent="0.2">
      <c r="A17" s="883"/>
      <c r="B17" s="881" t="s">
        <v>630</v>
      </c>
      <c r="C17" s="882"/>
      <c r="D17" s="880" t="s">
        <v>16</v>
      </c>
      <c r="E17" s="862" t="s">
        <v>694</v>
      </c>
      <c r="F17" s="864"/>
      <c r="G17" s="876"/>
      <c r="H17" s="876"/>
      <c r="I17" s="876"/>
      <c r="J17" s="876"/>
    </row>
    <row r="18" spans="1:10" ht="18.75" x14ac:dyDescent="0.2">
      <c r="A18" s="883"/>
      <c r="B18" s="881" t="s">
        <v>632</v>
      </c>
      <c r="C18" s="882"/>
      <c r="D18" s="880" t="s">
        <v>16</v>
      </c>
      <c r="E18" s="862" t="s">
        <v>633</v>
      </c>
      <c r="F18" s="864"/>
      <c r="G18" s="876"/>
      <c r="H18" s="876"/>
      <c r="I18" s="876"/>
      <c r="J18" s="876"/>
    </row>
    <row r="19" spans="1:10" ht="9.75" customHeight="1" x14ac:dyDescent="0.2">
      <c r="A19" s="887"/>
      <c r="B19" s="887"/>
      <c r="C19" s="887"/>
      <c r="D19" s="887"/>
      <c r="E19" s="867"/>
      <c r="F19" s="867"/>
      <c r="G19" s="876"/>
      <c r="H19" s="876"/>
      <c r="I19" s="876"/>
      <c r="J19" s="876"/>
    </row>
    <row r="20" spans="1:10" ht="17.25" customHeight="1" x14ac:dyDescent="0.2">
      <c r="A20" s="888"/>
      <c r="B20" s="889" t="s">
        <v>646</v>
      </c>
      <c r="C20" s="890"/>
      <c r="D20" s="891" t="s">
        <v>16</v>
      </c>
      <c r="E20" s="868" t="s">
        <v>635</v>
      </c>
      <c r="F20" s="867"/>
      <c r="G20" s="876"/>
      <c r="H20" s="876"/>
      <c r="I20" s="876"/>
      <c r="J20" s="876"/>
    </row>
    <row r="21" spans="1:10" ht="17.25" customHeight="1" x14ac:dyDescent="0.2">
      <c r="A21" s="888"/>
      <c r="B21" s="889" t="s">
        <v>640</v>
      </c>
      <c r="C21" s="890"/>
      <c r="D21" s="891"/>
      <c r="E21" s="869" t="s">
        <v>639</v>
      </c>
      <c r="F21" s="867"/>
      <c r="G21" s="876"/>
      <c r="H21" s="876"/>
      <c r="I21" s="876"/>
      <c r="J21" s="876"/>
    </row>
    <row r="22" spans="1:10" ht="20.25" customHeight="1" x14ac:dyDescent="0.2">
      <c r="A22" s="888"/>
      <c r="B22" s="892" t="s">
        <v>552</v>
      </c>
      <c r="C22" s="890"/>
      <c r="D22" s="891" t="s">
        <v>16</v>
      </c>
      <c r="E22" s="869" t="s">
        <v>645</v>
      </c>
      <c r="F22" s="870"/>
      <c r="G22" s="876"/>
      <c r="H22" s="876"/>
      <c r="I22" s="876"/>
      <c r="J22" s="876"/>
    </row>
    <row r="23" spans="1:10" ht="20.25" x14ac:dyDescent="0.2">
      <c r="A23" s="888"/>
      <c r="B23" s="893" t="s">
        <v>78</v>
      </c>
      <c r="C23" s="890"/>
      <c r="D23" s="891" t="s">
        <v>16</v>
      </c>
      <c r="E23" s="871">
        <v>2021</v>
      </c>
      <c r="F23" s="870"/>
      <c r="G23" s="876"/>
      <c r="H23" s="876"/>
      <c r="I23" s="876"/>
      <c r="J23" s="876"/>
    </row>
    <row r="26" spans="1:10" hidden="1" x14ac:dyDescent="0.2">
      <c r="A26" s="872"/>
      <c r="B26" s="873"/>
      <c r="C26" s="873"/>
      <c r="D26" s="873"/>
      <c r="E26" s="873"/>
      <c r="F26" s="873"/>
    </row>
    <row r="33" x14ac:dyDescent="0.2"/>
    <row r="38" x14ac:dyDescent="0.2"/>
    <row r="39" x14ac:dyDescent="0.2"/>
    <row r="40" x14ac:dyDescent="0.2"/>
  </sheetData>
  <mergeCells count="1">
    <mergeCell ref="A1:E1"/>
  </mergeCells>
  <pageMargins left="0.70866141732283472" right="0.51181102362204722" top="0.74803149606299213" bottom="0.74803149606299213" header="0.31496062992125984" footer="0.31496062992125984"/>
  <pageSetup paperSize="9" orientation="portrait" horizont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-0.249977111117893"/>
  </sheetPr>
  <dimension ref="B1:AC92"/>
  <sheetViews>
    <sheetView showGridLines="0" view="pageBreakPreview" topLeftCell="B7" zoomScaleNormal="100" zoomScaleSheetLayoutView="100" workbookViewId="0">
      <selection activeCell="B12" sqref="B12:T90"/>
    </sheetView>
  </sheetViews>
  <sheetFormatPr defaultColWidth="5" defaultRowHeight="13.5" customHeight="1" x14ac:dyDescent="0.25"/>
  <cols>
    <col min="1" max="1" width="9.140625" style="65" customWidth="1"/>
    <col min="2" max="2" width="6.42578125" style="65" customWidth="1"/>
    <col min="3" max="3" width="3.140625" style="65" customWidth="1"/>
    <col min="4" max="4" width="11.7109375" style="65" customWidth="1"/>
    <col min="5" max="5" width="4.7109375" style="65" customWidth="1"/>
    <col min="6" max="6" width="9.140625" style="65" customWidth="1"/>
    <col min="7" max="7" width="6" style="65" customWidth="1"/>
    <col min="8" max="18" width="2.7109375" style="65" customWidth="1"/>
    <col min="19" max="19" width="1.7109375" style="65" customWidth="1"/>
    <col min="20" max="20" width="7.5703125" style="65" customWidth="1"/>
    <col min="21" max="21" width="7.42578125" style="65" customWidth="1"/>
    <col min="22" max="22" width="7" style="66" hidden="1" customWidth="1"/>
    <col min="23" max="26" width="5" style="65" customWidth="1"/>
    <col min="27" max="27" width="5" style="65"/>
    <col min="28" max="30" width="0" style="65" hidden="1" customWidth="1"/>
    <col min="31" max="16384" width="5" style="65"/>
  </cols>
  <sheetData>
    <row r="1" spans="2:29" ht="13.5" hidden="1" customHeight="1" x14ac:dyDescent="0.25"/>
    <row r="2" spans="2:29" ht="13.5" hidden="1" customHeight="1" x14ac:dyDescent="0.25"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</row>
    <row r="3" spans="2:29" ht="13.5" hidden="1" customHeight="1" x14ac:dyDescent="0.25">
      <c r="B3" s="1144" t="s">
        <v>2</v>
      </c>
      <c r="C3" s="1145"/>
      <c r="D3" s="1146"/>
      <c r="E3" s="68" t="str">
        <f>'DATA SKP2'!F6</f>
        <v>Sirajudin, S.Pd</v>
      </c>
      <c r="F3" s="68"/>
      <c r="G3" s="68"/>
      <c r="H3" s="68"/>
      <c r="I3" s="68"/>
      <c r="J3" s="68"/>
      <c r="K3" s="68"/>
      <c r="L3" s="67"/>
      <c r="M3" s="67"/>
      <c r="N3" s="67"/>
      <c r="O3" s="67"/>
      <c r="P3" s="67"/>
      <c r="Q3" s="67"/>
      <c r="R3" s="67"/>
      <c r="S3" s="67"/>
      <c r="T3" s="67"/>
    </row>
    <row r="4" spans="2:29" ht="13.5" hidden="1" customHeight="1" x14ac:dyDescent="0.25">
      <c r="B4" s="68" t="s">
        <v>3</v>
      </c>
      <c r="C4" s="68"/>
      <c r="D4" s="68"/>
      <c r="E4" s="68" t="str">
        <f>'DATA SKP'!E6</f>
        <v>19730115 200710 1 001</v>
      </c>
      <c r="F4" s="68"/>
      <c r="G4" s="68"/>
      <c r="H4" s="68"/>
      <c r="I4" s="68"/>
      <c r="J4" s="68"/>
      <c r="K4" s="68"/>
      <c r="L4" s="67"/>
      <c r="M4" s="67"/>
      <c r="N4" s="67"/>
      <c r="O4" s="67"/>
      <c r="P4" s="67"/>
      <c r="Q4" s="67"/>
      <c r="R4" s="67"/>
      <c r="S4" s="67"/>
      <c r="T4" s="67"/>
    </row>
    <row r="5" spans="2:29" ht="13.5" hidden="1" customHeight="1" x14ac:dyDescent="0.25">
      <c r="B5" s="68" t="s">
        <v>198</v>
      </c>
      <c r="C5" s="68"/>
      <c r="D5" s="68"/>
      <c r="E5" s="68" t="str">
        <f>'DATA SKP2'!F8</f>
        <v>Penata Muda, Gol. III/a</v>
      </c>
      <c r="F5" s="68"/>
      <c r="G5" s="68"/>
      <c r="H5" s="68"/>
      <c r="I5" s="68"/>
      <c r="J5" s="68"/>
      <c r="K5" s="68"/>
      <c r="L5" s="67"/>
      <c r="M5" s="67"/>
      <c r="N5" s="67"/>
      <c r="O5" s="67"/>
      <c r="P5" s="67"/>
      <c r="Q5" s="67"/>
      <c r="R5" s="67"/>
      <c r="S5" s="67"/>
      <c r="T5" s="67"/>
    </row>
    <row r="6" spans="2:29" ht="13.5" hidden="1" customHeight="1" x14ac:dyDescent="0.25">
      <c r="B6" s="67"/>
      <c r="C6" s="67"/>
      <c r="D6" s="67"/>
      <c r="E6" s="69">
        <f>'DATA SKP2'!B8</f>
        <v>10.5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</row>
    <row r="7" spans="2:29" ht="13.5" customHeight="1" x14ac:dyDescent="0.25"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</row>
    <row r="8" spans="2:29" ht="21.75" customHeight="1" x14ac:dyDescent="0.3">
      <c r="B8" s="1124" t="s">
        <v>199</v>
      </c>
      <c r="C8" s="1124"/>
      <c r="D8" s="1124"/>
      <c r="E8" s="1124"/>
      <c r="F8" s="1124"/>
      <c r="G8" s="1124"/>
      <c r="H8" s="1124"/>
      <c r="I8" s="1124"/>
      <c r="J8" s="1124"/>
      <c r="K8" s="1124"/>
      <c r="L8" s="1124"/>
      <c r="M8" s="1124"/>
      <c r="N8" s="1124"/>
      <c r="O8" s="1124"/>
      <c r="P8" s="1124"/>
      <c r="Q8" s="1124"/>
      <c r="R8" s="1124"/>
      <c r="S8" s="1124"/>
      <c r="T8" s="1124"/>
    </row>
    <row r="9" spans="2:29" ht="13.5" customHeight="1" x14ac:dyDescent="0.25">
      <c r="B9" s="1125" t="s">
        <v>200</v>
      </c>
      <c r="C9" s="1125"/>
      <c r="D9" s="1125"/>
      <c r="E9" s="1125"/>
      <c r="F9" s="1125"/>
      <c r="G9" s="1125"/>
      <c r="H9" s="1125"/>
      <c r="I9" s="1125"/>
      <c r="J9" s="1125"/>
      <c r="K9" s="1125"/>
      <c r="L9" s="1125"/>
      <c r="M9" s="1125"/>
      <c r="N9" s="1125"/>
      <c r="O9" s="1125"/>
      <c r="P9" s="1125"/>
      <c r="Q9" s="1125"/>
      <c r="R9" s="1125"/>
      <c r="S9" s="1125"/>
      <c r="T9" s="1125"/>
    </row>
    <row r="10" spans="2:29" ht="13.5" customHeight="1" x14ac:dyDescent="0.25"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</row>
    <row r="11" spans="2:29" ht="13.5" customHeight="1" x14ac:dyDescent="0.25">
      <c r="B11" s="71" t="s">
        <v>201</v>
      </c>
      <c r="C11" s="1126" t="s">
        <v>202</v>
      </c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8"/>
      <c r="T11" s="71" t="s">
        <v>107</v>
      </c>
    </row>
    <row r="12" spans="2:29" ht="21.75" customHeight="1" x14ac:dyDescent="0.25">
      <c r="B12" s="72" t="s">
        <v>114</v>
      </c>
      <c r="C12" s="73" t="s">
        <v>15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5"/>
      <c r="T12" s="76"/>
      <c r="V12" s="77" t="str">
        <f>'DATA SKP2'!H9</f>
        <v>Guru</v>
      </c>
      <c r="AB12" s="65">
        <v>12</v>
      </c>
      <c r="AC12" s="78" t="s">
        <v>203</v>
      </c>
    </row>
    <row r="13" spans="2:29" ht="36" customHeight="1" x14ac:dyDescent="0.25">
      <c r="B13" s="79" t="s">
        <v>112</v>
      </c>
      <c r="C13" s="1129" t="s">
        <v>204</v>
      </c>
      <c r="D13" s="1130"/>
      <c r="E13" s="1130"/>
      <c r="F13" s="1130"/>
      <c r="G13" s="1130"/>
      <c r="H13" s="1130"/>
      <c r="I13" s="1130"/>
      <c r="J13" s="1130"/>
      <c r="K13" s="1130"/>
      <c r="L13" s="1130"/>
      <c r="M13" s="1130"/>
      <c r="N13" s="1130"/>
      <c r="O13" s="1130"/>
      <c r="P13" s="1130"/>
      <c r="Q13" s="1130"/>
      <c r="R13" s="1130"/>
      <c r="S13" s="1131"/>
      <c r="T13" s="80">
        <f>IF(V12=AC13,E6*0.25,IF(V12=AC14,E6*0.5,IF(V12=AC15,E6*0.5,IF(V12=AC16,E6*0.5,IF(V12=AC17,E6*0.5,IF(V12=AC18,E6*0.5,IF(V12=AC19,E6*0.5,E6)))))))-V23</f>
        <v>10.5</v>
      </c>
      <c r="U13" s="477"/>
      <c r="AB13" s="65">
        <v>13</v>
      </c>
      <c r="AC13" s="78" t="s">
        <v>58</v>
      </c>
    </row>
    <row r="14" spans="2:29" ht="37.5" customHeight="1" x14ac:dyDescent="0.25">
      <c r="B14" s="79" t="s">
        <v>119</v>
      </c>
      <c r="C14" s="1129" t="s">
        <v>206</v>
      </c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1"/>
      <c r="T14" s="81">
        <f>T13-U14</f>
        <v>10.5</v>
      </c>
      <c r="U14" s="477"/>
      <c r="AB14" s="65">
        <v>14</v>
      </c>
      <c r="AC14" s="78" t="s">
        <v>328</v>
      </c>
    </row>
    <row r="15" spans="2:29" ht="13.5" customHeight="1" x14ac:dyDescent="0.25">
      <c r="B15" s="82" t="s">
        <v>121</v>
      </c>
      <c r="C15" s="83" t="s">
        <v>207</v>
      </c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5"/>
      <c r="T15" s="86" t="str">
        <f>IF(V12=AC13,E6*0.75,"-")</f>
        <v>-</v>
      </c>
      <c r="V15" s="87" t="e">
        <f t="shared" ref="V15:V22" si="0">$T$13+T15</f>
        <v>#VALUE!</v>
      </c>
      <c r="AB15" s="65">
        <v>15</v>
      </c>
      <c r="AC15" s="78" t="s">
        <v>208</v>
      </c>
    </row>
    <row r="16" spans="2:29" ht="13.5" customHeight="1" x14ac:dyDescent="0.25">
      <c r="B16" s="82" t="s">
        <v>123</v>
      </c>
      <c r="C16" s="83" t="s">
        <v>209</v>
      </c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5"/>
      <c r="T16" s="86" t="str">
        <f>IF(V12=AC14,E6*0.5,"-")</f>
        <v>-</v>
      </c>
      <c r="V16" s="87" t="e">
        <f t="shared" si="0"/>
        <v>#VALUE!</v>
      </c>
      <c r="AB16" s="65">
        <v>16</v>
      </c>
      <c r="AC16" s="78" t="s">
        <v>210</v>
      </c>
    </row>
    <row r="17" spans="2:29" ht="13.5" customHeight="1" x14ac:dyDescent="0.25">
      <c r="B17" s="82" t="s">
        <v>125</v>
      </c>
      <c r="C17" s="83" t="s">
        <v>211</v>
      </c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5"/>
      <c r="T17" s="86" t="str">
        <f>IF(V12=AC15,E6*0.5,"-")</f>
        <v>-</v>
      </c>
      <c r="V17" s="87" t="e">
        <f t="shared" si="0"/>
        <v>#VALUE!</v>
      </c>
      <c r="AB17" s="65">
        <v>17</v>
      </c>
      <c r="AC17" s="78" t="s">
        <v>212</v>
      </c>
    </row>
    <row r="18" spans="2:29" ht="13.5" customHeight="1" x14ac:dyDescent="0.25">
      <c r="B18" s="82" t="s">
        <v>127</v>
      </c>
      <c r="C18" s="83" t="s">
        <v>213</v>
      </c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5"/>
      <c r="T18" s="86" t="str">
        <f>IF(V12=AC16,E6*0.5,"-")</f>
        <v>-</v>
      </c>
      <c r="V18" s="87" t="e">
        <f t="shared" si="0"/>
        <v>#VALUE!</v>
      </c>
      <c r="AB18" s="65">
        <v>18</v>
      </c>
      <c r="AC18" s="78" t="s">
        <v>214</v>
      </c>
    </row>
    <row r="19" spans="2:29" ht="13.5" customHeight="1" x14ac:dyDescent="0.25">
      <c r="B19" s="88" t="s">
        <v>129</v>
      </c>
      <c r="C19" s="84" t="s">
        <v>215</v>
      </c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5"/>
      <c r="T19" s="86" t="str">
        <f>IF(V12=AC17,E6*0.5,"-")</f>
        <v>-</v>
      </c>
      <c r="V19" s="87" t="e">
        <f t="shared" si="0"/>
        <v>#VALUE!</v>
      </c>
      <c r="AB19" s="65">
        <v>19</v>
      </c>
      <c r="AC19" s="78" t="s">
        <v>216</v>
      </c>
    </row>
    <row r="20" spans="2:29" ht="13.5" customHeight="1" x14ac:dyDescent="0.25">
      <c r="B20" s="88" t="s">
        <v>130</v>
      </c>
      <c r="C20" s="84" t="s">
        <v>217</v>
      </c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5"/>
      <c r="T20" s="86" t="str">
        <f>IF(V12=AC18,E6*0.5,"-")</f>
        <v>-</v>
      </c>
      <c r="V20" s="87" t="e">
        <f t="shared" si="0"/>
        <v>#VALUE!</v>
      </c>
      <c r="AC20" s="78"/>
    </row>
    <row r="21" spans="2:29" ht="13.5" customHeight="1" x14ac:dyDescent="0.25">
      <c r="B21" s="88" t="s">
        <v>131</v>
      </c>
      <c r="C21" s="84" t="s">
        <v>218</v>
      </c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5"/>
      <c r="T21" s="86" t="str">
        <f>IF(V12=AC19,E6*0.5,"-")</f>
        <v>-</v>
      </c>
      <c r="V21" s="87" t="e">
        <f t="shared" si="0"/>
        <v>#VALUE!</v>
      </c>
      <c r="AC21" s="78"/>
    </row>
    <row r="22" spans="2:29" ht="31.5" customHeight="1" x14ac:dyDescent="0.25">
      <c r="B22" s="89" t="s">
        <v>133</v>
      </c>
      <c r="C22" s="1030" t="s">
        <v>219</v>
      </c>
      <c r="D22" s="1031"/>
      <c r="E22" s="1031"/>
      <c r="F22" s="1031"/>
      <c r="G22" s="1031"/>
      <c r="H22" s="1031"/>
      <c r="I22" s="1031"/>
      <c r="J22" s="1031"/>
      <c r="K22" s="1031"/>
      <c r="L22" s="1031"/>
      <c r="M22" s="1031"/>
      <c r="N22" s="1031"/>
      <c r="O22" s="1031"/>
      <c r="P22" s="1031"/>
      <c r="Q22" s="1031"/>
      <c r="R22" s="1031"/>
      <c r="S22" s="1032"/>
      <c r="T22" s="90">
        <f>E6*0.05</f>
        <v>0.52500000000000002</v>
      </c>
      <c r="V22" s="87">
        <f t="shared" si="0"/>
        <v>11.025</v>
      </c>
      <c r="AB22" s="65">
        <v>19</v>
      </c>
      <c r="AC22" s="78" t="s">
        <v>416</v>
      </c>
    </row>
    <row r="23" spans="2:29" ht="13.5" customHeight="1" x14ac:dyDescent="0.25">
      <c r="B23" s="91" t="s">
        <v>134</v>
      </c>
      <c r="C23" s="92" t="s">
        <v>221</v>
      </c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4"/>
      <c r="T23" s="90">
        <f>E6*0.05</f>
        <v>0.52500000000000002</v>
      </c>
      <c r="U23" s="476"/>
      <c r="V23" s="87" t="b">
        <f>IF(V12="guru dan wali kelas",T23+(V13*2))</f>
        <v>0</v>
      </c>
    </row>
    <row r="24" spans="2:29" ht="13.5" customHeight="1" x14ac:dyDescent="0.25">
      <c r="B24" s="91" t="s">
        <v>115</v>
      </c>
      <c r="C24" s="92" t="s">
        <v>222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4"/>
      <c r="T24" s="95">
        <f>E6*0.02</f>
        <v>0.21</v>
      </c>
    </row>
    <row r="25" spans="2:29" ht="13.5" customHeight="1" x14ac:dyDescent="0.25">
      <c r="B25" s="91" t="s">
        <v>138</v>
      </c>
      <c r="C25" s="92" t="s">
        <v>223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4"/>
      <c r="T25" s="95">
        <f>T24</f>
        <v>0.21</v>
      </c>
    </row>
    <row r="26" spans="2:29" ht="13.5" customHeight="1" x14ac:dyDescent="0.25">
      <c r="B26" s="96" t="s">
        <v>139</v>
      </c>
      <c r="C26" s="97" t="s">
        <v>224</v>
      </c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4"/>
      <c r="T26" s="90">
        <f>T23</f>
        <v>0.52500000000000002</v>
      </c>
    </row>
    <row r="27" spans="2:29" ht="13.5" customHeight="1" x14ac:dyDescent="0.25">
      <c r="B27" s="89" t="s">
        <v>140</v>
      </c>
      <c r="C27" s="97" t="s">
        <v>225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4"/>
      <c r="T27" s="90">
        <f>T23</f>
        <v>0.52500000000000002</v>
      </c>
    </row>
    <row r="28" spans="2:29" ht="13.5" customHeight="1" x14ac:dyDescent="0.25">
      <c r="B28" s="89" t="s">
        <v>141</v>
      </c>
      <c r="C28" s="97" t="s">
        <v>226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4"/>
      <c r="T28" s="95">
        <f>T25</f>
        <v>0.21</v>
      </c>
    </row>
    <row r="29" spans="2:29" ht="21.75" customHeight="1" x14ac:dyDescent="0.25">
      <c r="B29" s="89" t="s">
        <v>142</v>
      </c>
      <c r="C29" s="1030" t="s">
        <v>227</v>
      </c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1031"/>
      <c r="O29" s="1031"/>
      <c r="P29" s="1031"/>
      <c r="Q29" s="1031"/>
      <c r="R29" s="1031"/>
      <c r="S29" s="1032"/>
      <c r="T29" s="90">
        <f>T26</f>
        <v>0.52500000000000002</v>
      </c>
    </row>
    <row r="30" spans="2:29" ht="13.5" customHeight="1" x14ac:dyDescent="0.25">
      <c r="B30" s="98" t="s">
        <v>143</v>
      </c>
      <c r="C30" s="99" t="s">
        <v>228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1"/>
      <c r="T30" s="102">
        <v>15</v>
      </c>
    </row>
    <row r="31" spans="2:29" ht="13.5" customHeight="1" x14ac:dyDescent="0.25">
      <c r="B31" s="98" t="s">
        <v>144</v>
      </c>
      <c r="C31" s="99" t="s">
        <v>229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1"/>
      <c r="T31" s="102">
        <v>9</v>
      </c>
    </row>
    <row r="32" spans="2:29" ht="13.5" customHeight="1" x14ac:dyDescent="0.25">
      <c r="B32" s="98" t="s">
        <v>145</v>
      </c>
      <c r="C32" s="99" t="s">
        <v>230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1"/>
      <c r="T32" s="102">
        <v>6</v>
      </c>
    </row>
    <row r="33" spans="2:20" ht="13.5" customHeight="1" x14ac:dyDescent="0.25">
      <c r="B33" s="98" t="s">
        <v>146</v>
      </c>
      <c r="C33" s="99" t="s">
        <v>231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1"/>
      <c r="T33" s="102">
        <v>3</v>
      </c>
    </row>
    <row r="34" spans="2:20" ht="13.5" customHeight="1" x14ac:dyDescent="0.25">
      <c r="B34" s="98" t="s">
        <v>147</v>
      </c>
      <c r="C34" s="99" t="s">
        <v>232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1"/>
      <c r="T34" s="102">
        <v>2</v>
      </c>
    </row>
    <row r="35" spans="2:20" ht="13.5" customHeight="1" x14ac:dyDescent="0.25">
      <c r="B35" s="98" t="s">
        <v>148</v>
      </c>
      <c r="C35" s="99" t="s">
        <v>233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1"/>
      <c r="T35" s="102">
        <v>1</v>
      </c>
    </row>
    <row r="36" spans="2:20" ht="33" customHeight="1" x14ac:dyDescent="0.25">
      <c r="B36" s="98" t="s">
        <v>149</v>
      </c>
      <c r="C36" s="1135" t="s">
        <v>234</v>
      </c>
      <c r="D36" s="1136"/>
      <c r="E36" s="1136"/>
      <c r="F36" s="1136"/>
      <c r="G36" s="1136"/>
      <c r="H36" s="1136"/>
      <c r="I36" s="1136"/>
      <c r="J36" s="1136"/>
      <c r="K36" s="1136"/>
      <c r="L36" s="1136"/>
      <c r="M36" s="1136"/>
      <c r="N36" s="1136"/>
      <c r="O36" s="1136"/>
      <c r="P36" s="1136"/>
      <c r="Q36" s="1136"/>
      <c r="R36" s="1136"/>
      <c r="S36" s="1137"/>
      <c r="T36" s="102">
        <v>0.15</v>
      </c>
    </row>
    <row r="37" spans="2:20" ht="13.5" customHeight="1" x14ac:dyDescent="0.25">
      <c r="B37" s="103" t="s">
        <v>150</v>
      </c>
      <c r="C37" s="104" t="s">
        <v>235</v>
      </c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6"/>
      <c r="T37" s="107">
        <v>0.2</v>
      </c>
    </row>
    <row r="38" spans="2:20" ht="13.5" customHeight="1" x14ac:dyDescent="0.25">
      <c r="B38" s="103" t="s">
        <v>117</v>
      </c>
      <c r="C38" s="104" t="s">
        <v>236</v>
      </c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6"/>
      <c r="T38" s="107">
        <v>0.1</v>
      </c>
    </row>
    <row r="39" spans="2:20" ht="13.5" customHeight="1" x14ac:dyDescent="0.25">
      <c r="B39" s="103" t="s">
        <v>120</v>
      </c>
      <c r="C39" s="104" t="s">
        <v>237</v>
      </c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6"/>
      <c r="T39" s="107">
        <v>0.1</v>
      </c>
    </row>
    <row r="40" spans="2:20" ht="13.5" customHeight="1" x14ac:dyDescent="0.25">
      <c r="B40" s="103" t="s">
        <v>151</v>
      </c>
      <c r="C40" s="104" t="s">
        <v>238</v>
      </c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6"/>
      <c r="T40" s="107">
        <v>0.2</v>
      </c>
    </row>
    <row r="41" spans="2:20" ht="13.5" customHeight="1" x14ac:dyDescent="0.25">
      <c r="B41" s="103" t="s">
        <v>152</v>
      </c>
      <c r="C41" s="104" t="s">
        <v>239</v>
      </c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6"/>
      <c r="T41" s="107">
        <v>0.2</v>
      </c>
    </row>
    <row r="42" spans="2:20" ht="23.25" customHeight="1" x14ac:dyDescent="0.25">
      <c r="B42" s="103" t="s">
        <v>153</v>
      </c>
      <c r="C42" s="1132" t="s">
        <v>240</v>
      </c>
      <c r="D42" s="1133"/>
      <c r="E42" s="1133"/>
      <c r="F42" s="1133"/>
      <c r="G42" s="1133"/>
      <c r="H42" s="1133"/>
      <c r="I42" s="1133"/>
      <c r="J42" s="1133"/>
      <c r="K42" s="1133"/>
      <c r="L42" s="1133"/>
      <c r="M42" s="1133"/>
      <c r="N42" s="1133"/>
      <c r="O42" s="1133"/>
      <c r="P42" s="1133"/>
      <c r="Q42" s="1133"/>
      <c r="R42" s="1133"/>
      <c r="S42" s="1134"/>
      <c r="T42" s="107">
        <v>4</v>
      </c>
    </row>
    <row r="43" spans="2:20" ht="34.5" customHeight="1" x14ac:dyDescent="0.25">
      <c r="B43" s="103" t="s">
        <v>154</v>
      </c>
      <c r="C43" s="1132" t="s">
        <v>241</v>
      </c>
      <c r="D43" s="1133"/>
      <c r="E43" s="1133"/>
      <c r="F43" s="1133"/>
      <c r="G43" s="1133"/>
      <c r="H43" s="1133"/>
      <c r="I43" s="1133"/>
      <c r="J43" s="1133"/>
      <c r="K43" s="1133"/>
      <c r="L43" s="1133"/>
      <c r="M43" s="1133"/>
      <c r="N43" s="1133"/>
      <c r="O43" s="1133"/>
      <c r="P43" s="1133"/>
      <c r="Q43" s="1133"/>
      <c r="R43" s="1133"/>
      <c r="S43" s="1134"/>
      <c r="T43" s="107">
        <v>3</v>
      </c>
    </row>
    <row r="44" spans="2:20" ht="36" customHeight="1" x14ac:dyDescent="0.25">
      <c r="B44" s="103" t="s">
        <v>155</v>
      </c>
      <c r="C44" s="1132" t="s">
        <v>242</v>
      </c>
      <c r="D44" s="1133"/>
      <c r="E44" s="1133"/>
      <c r="F44" s="1133"/>
      <c r="G44" s="1133"/>
      <c r="H44" s="1133"/>
      <c r="I44" s="1133"/>
      <c r="J44" s="1133"/>
      <c r="K44" s="1133"/>
      <c r="L44" s="1133"/>
      <c r="M44" s="1133"/>
      <c r="N44" s="1133"/>
      <c r="O44" s="1133"/>
      <c r="P44" s="1133"/>
      <c r="Q44" s="1133"/>
      <c r="R44" s="1133"/>
      <c r="S44" s="1134"/>
      <c r="T44" s="107">
        <v>2</v>
      </c>
    </row>
    <row r="45" spans="2:20" ht="30" customHeight="1" x14ac:dyDescent="0.25">
      <c r="B45" s="103" t="s">
        <v>156</v>
      </c>
      <c r="C45" s="1132" t="s">
        <v>243</v>
      </c>
      <c r="D45" s="1133"/>
      <c r="E45" s="1133"/>
      <c r="F45" s="1133"/>
      <c r="G45" s="1133"/>
      <c r="H45" s="1133"/>
      <c r="I45" s="1133"/>
      <c r="J45" s="1133"/>
      <c r="K45" s="1133"/>
      <c r="L45" s="1133"/>
      <c r="M45" s="1133"/>
      <c r="N45" s="1133"/>
      <c r="O45" s="1133"/>
      <c r="P45" s="1133"/>
      <c r="Q45" s="1133"/>
      <c r="R45" s="1133"/>
      <c r="S45" s="1134"/>
      <c r="T45" s="107">
        <v>1</v>
      </c>
    </row>
    <row r="46" spans="2:20" ht="37.5" customHeight="1" x14ac:dyDescent="0.25">
      <c r="B46" s="103" t="s">
        <v>157</v>
      </c>
      <c r="C46" s="1132" t="s">
        <v>244</v>
      </c>
      <c r="D46" s="1133"/>
      <c r="E46" s="1133"/>
      <c r="F46" s="1133"/>
      <c r="G46" s="1133"/>
      <c r="H46" s="1133"/>
      <c r="I46" s="1133"/>
      <c r="J46" s="1133"/>
      <c r="K46" s="1133"/>
      <c r="L46" s="1133"/>
      <c r="M46" s="1133"/>
      <c r="N46" s="1133"/>
      <c r="O46" s="1133"/>
      <c r="P46" s="1133"/>
      <c r="Q46" s="1133"/>
      <c r="R46" s="1133"/>
      <c r="S46" s="1134"/>
      <c r="T46" s="107">
        <v>4</v>
      </c>
    </row>
    <row r="47" spans="2:20" ht="36" customHeight="1" x14ac:dyDescent="0.25">
      <c r="B47" s="103" t="s">
        <v>158</v>
      </c>
      <c r="C47" s="1132" t="s">
        <v>245</v>
      </c>
      <c r="D47" s="1133"/>
      <c r="E47" s="1133"/>
      <c r="F47" s="1133"/>
      <c r="G47" s="1133"/>
      <c r="H47" s="1133"/>
      <c r="I47" s="1133"/>
      <c r="J47" s="1133"/>
      <c r="K47" s="1133"/>
      <c r="L47" s="1133"/>
      <c r="M47" s="1133"/>
      <c r="N47" s="1133"/>
      <c r="O47" s="1133"/>
      <c r="P47" s="1133"/>
      <c r="Q47" s="1133"/>
      <c r="R47" s="1133"/>
      <c r="S47" s="1134"/>
      <c r="T47" s="107">
        <v>2</v>
      </c>
    </row>
    <row r="48" spans="2:20" ht="27.75" customHeight="1" x14ac:dyDescent="0.25">
      <c r="B48" s="103" t="s">
        <v>159</v>
      </c>
      <c r="C48" s="1132" t="s">
        <v>246</v>
      </c>
      <c r="D48" s="1133"/>
      <c r="E48" s="1133"/>
      <c r="F48" s="1133"/>
      <c r="G48" s="1133"/>
      <c r="H48" s="1133"/>
      <c r="I48" s="1133"/>
      <c r="J48" s="1133"/>
      <c r="K48" s="1133"/>
      <c r="L48" s="1133"/>
      <c r="M48" s="1133"/>
      <c r="N48" s="1133"/>
      <c r="O48" s="1133"/>
      <c r="P48" s="1133"/>
      <c r="Q48" s="1133"/>
      <c r="R48" s="1133"/>
      <c r="S48" s="1134"/>
      <c r="T48" s="107">
        <v>2</v>
      </c>
    </row>
    <row r="49" spans="2:20" ht="38.25" customHeight="1" x14ac:dyDescent="0.25">
      <c r="B49" s="103" t="s">
        <v>160</v>
      </c>
      <c r="C49" s="1132" t="s">
        <v>247</v>
      </c>
      <c r="D49" s="1133"/>
      <c r="E49" s="1133"/>
      <c r="F49" s="1133"/>
      <c r="G49" s="1133"/>
      <c r="H49" s="1133"/>
      <c r="I49" s="1133"/>
      <c r="J49" s="1133"/>
      <c r="K49" s="1133"/>
      <c r="L49" s="1133"/>
      <c r="M49" s="1133"/>
      <c r="N49" s="1133"/>
      <c r="O49" s="1133"/>
      <c r="P49" s="1133"/>
      <c r="Q49" s="1133"/>
      <c r="R49" s="1133"/>
      <c r="S49" s="108"/>
      <c r="T49" s="107">
        <v>1.5</v>
      </c>
    </row>
    <row r="50" spans="2:20" ht="30.75" customHeight="1" x14ac:dyDescent="0.25">
      <c r="B50" s="103" t="s">
        <v>161</v>
      </c>
      <c r="C50" s="1132" t="s">
        <v>248</v>
      </c>
      <c r="D50" s="1133"/>
      <c r="E50" s="1133"/>
      <c r="F50" s="1133"/>
      <c r="G50" s="1133"/>
      <c r="H50" s="1133"/>
      <c r="I50" s="1133"/>
      <c r="J50" s="1133"/>
      <c r="K50" s="1133"/>
      <c r="L50" s="1133"/>
      <c r="M50" s="1133"/>
      <c r="N50" s="1133"/>
      <c r="O50" s="1133"/>
      <c r="P50" s="1133"/>
      <c r="Q50" s="1133"/>
      <c r="R50" s="1133"/>
      <c r="S50" s="1134"/>
      <c r="T50" s="107">
        <v>2</v>
      </c>
    </row>
    <row r="51" spans="2:20" ht="42" customHeight="1" x14ac:dyDescent="0.25">
      <c r="B51" s="103" t="s">
        <v>162</v>
      </c>
      <c r="C51" s="1132" t="s">
        <v>249</v>
      </c>
      <c r="D51" s="1133"/>
      <c r="E51" s="1133"/>
      <c r="F51" s="1133"/>
      <c r="G51" s="1133"/>
      <c r="H51" s="1133"/>
      <c r="I51" s="1133"/>
      <c r="J51" s="1133"/>
      <c r="K51" s="1133"/>
      <c r="L51" s="1133"/>
      <c r="M51" s="1133"/>
      <c r="N51" s="1133"/>
      <c r="O51" s="1133"/>
      <c r="P51" s="1133"/>
      <c r="Q51" s="1133"/>
      <c r="R51" s="1133"/>
      <c r="S51" s="1134"/>
      <c r="T51" s="107">
        <v>1.5</v>
      </c>
    </row>
    <row r="52" spans="2:20" ht="33.75" customHeight="1" x14ac:dyDescent="0.25">
      <c r="B52" s="103" t="s">
        <v>163</v>
      </c>
      <c r="C52" s="1132" t="s">
        <v>250</v>
      </c>
      <c r="D52" s="1133"/>
      <c r="E52" s="1133"/>
      <c r="F52" s="1133"/>
      <c r="G52" s="1133"/>
      <c r="H52" s="1133"/>
      <c r="I52" s="1133"/>
      <c r="J52" s="1133"/>
      <c r="K52" s="1133"/>
      <c r="L52" s="1133"/>
      <c r="M52" s="1133"/>
      <c r="N52" s="1133"/>
      <c r="O52" s="1133"/>
      <c r="P52" s="1133"/>
      <c r="Q52" s="1133"/>
      <c r="R52" s="1133"/>
      <c r="S52" s="1134"/>
      <c r="T52" s="107">
        <v>1</v>
      </c>
    </row>
    <row r="53" spans="2:20" ht="13.5" customHeight="1" x14ac:dyDescent="0.25">
      <c r="B53" s="103" t="s">
        <v>164</v>
      </c>
      <c r="C53" s="104" t="s">
        <v>251</v>
      </c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6"/>
      <c r="T53" s="107">
        <v>6</v>
      </c>
    </row>
    <row r="54" spans="2:20" ht="13.5" customHeight="1" x14ac:dyDescent="0.25">
      <c r="B54" s="103" t="s">
        <v>165</v>
      </c>
      <c r="C54" s="104" t="s">
        <v>252</v>
      </c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6"/>
      <c r="T54" s="107">
        <v>3</v>
      </c>
    </row>
    <row r="55" spans="2:20" ht="13.5" customHeight="1" x14ac:dyDescent="0.25">
      <c r="B55" s="103" t="s">
        <v>166</v>
      </c>
      <c r="C55" s="104" t="s">
        <v>253</v>
      </c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6"/>
      <c r="T55" s="107">
        <v>1</v>
      </c>
    </row>
    <row r="56" spans="2:20" ht="36" customHeight="1" x14ac:dyDescent="0.25">
      <c r="B56" s="103" t="s">
        <v>167</v>
      </c>
      <c r="C56" s="1132" t="s">
        <v>254</v>
      </c>
      <c r="D56" s="1133"/>
      <c r="E56" s="1133"/>
      <c r="F56" s="1133"/>
      <c r="G56" s="1133"/>
      <c r="H56" s="1133"/>
      <c r="I56" s="1133"/>
      <c r="J56" s="1133"/>
      <c r="K56" s="1133"/>
      <c r="L56" s="1133"/>
      <c r="M56" s="1133"/>
      <c r="N56" s="1133"/>
      <c r="O56" s="1133"/>
      <c r="P56" s="1133"/>
      <c r="Q56" s="1133"/>
      <c r="R56" s="1133"/>
      <c r="S56" s="1134"/>
      <c r="T56" s="107">
        <v>1.5</v>
      </c>
    </row>
    <row r="57" spans="2:20" ht="30" customHeight="1" x14ac:dyDescent="0.25">
      <c r="B57" s="103" t="s">
        <v>168</v>
      </c>
      <c r="C57" s="1132" t="s">
        <v>255</v>
      </c>
      <c r="D57" s="1133"/>
      <c r="E57" s="1133"/>
      <c r="F57" s="1133"/>
      <c r="G57" s="1133"/>
      <c r="H57" s="1133"/>
      <c r="I57" s="1133"/>
      <c r="J57" s="1133"/>
      <c r="K57" s="1133"/>
      <c r="L57" s="1133"/>
      <c r="M57" s="1133"/>
      <c r="N57" s="1133"/>
      <c r="O57" s="1133"/>
      <c r="P57" s="1133"/>
      <c r="Q57" s="1133"/>
      <c r="R57" s="1133"/>
      <c r="S57" s="1134"/>
      <c r="T57" s="107">
        <v>1</v>
      </c>
    </row>
    <row r="58" spans="2:20" ht="38.25" customHeight="1" x14ac:dyDescent="0.25">
      <c r="B58" s="103" t="s">
        <v>122</v>
      </c>
      <c r="C58" s="1132" t="s">
        <v>256</v>
      </c>
      <c r="D58" s="1133"/>
      <c r="E58" s="1133"/>
      <c r="F58" s="1133"/>
      <c r="G58" s="1133"/>
      <c r="H58" s="1133"/>
      <c r="I58" s="1133"/>
      <c r="J58" s="1133"/>
      <c r="K58" s="1133"/>
      <c r="L58" s="1133"/>
      <c r="M58" s="1133"/>
      <c r="N58" s="1133"/>
      <c r="O58" s="1133"/>
      <c r="P58" s="1133"/>
      <c r="Q58" s="1133"/>
      <c r="R58" s="1133"/>
      <c r="S58" s="1134"/>
      <c r="T58" s="107">
        <v>0.5</v>
      </c>
    </row>
    <row r="59" spans="2:20" ht="13.5" customHeight="1" x14ac:dyDescent="0.25">
      <c r="B59" s="103" t="s">
        <v>169</v>
      </c>
      <c r="C59" s="104" t="s">
        <v>257</v>
      </c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6"/>
      <c r="T59" s="107">
        <v>3</v>
      </c>
    </row>
    <row r="60" spans="2:20" ht="27" customHeight="1" x14ac:dyDescent="0.25">
      <c r="B60" s="103" t="s">
        <v>170</v>
      </c>
      <c r="C60" s="1132" t="s">
        <v>258</v>
      </c>
      <c r="D60" s="1133"/>
      <c r="E60" s="1133"/>
      <c r="F60" s="1133"/>
      <c r="G60" s="1133"/>
      <c r="H60" s="1133"/>
      <c r="I60" s="1133"/>
      <c r="J60" s="1133"/>
      <c r="K60" s="1133"/>
      <c r="L60" s="1133"/>
      <c r="M60" s="1133"/>
      <c r="N60" s="1133"/>
      <c r="O60" s="1133"/>
      <c r="P60" s="1133"/>
      <c r="Q60" s="1133"/>
      <c r="R60" s="1133"/>
      <c r="S60" s="1134"/>
      <c r="T60" s="107">
        <v>1.5</v>
      </c>
    </row>
    <row r="61" spans="2:20" ht="13.5" customHeight="1" x14ac:dyDescent="0.25">
      <c r="B61" s="103" t="s">
        <v>171</v>
      </c>
      <c r="C61" s="104" t="s">
        <v>259</v>
      </c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6"/>
      <c r="T61" s="107">
        <v>1</v>
      </c>
    </row>
    <row r="62" spans="2:20" ht="13.5" customHeight="1" x14ac:dyDescent="0.25">
      <c r="B62" s="103" t="s">
        <v>172</v>
      </c>
      <c r="C62" s="104" t="s">
        <v>260</v>
      </c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6"/>
      <c r="T62" s="107">
        <v>1.5</v>
      </c>
    </row>
    <row r="63" spans="2:20" ht="13.5" customHeight="1" x14ac:dyDescent="0.25">
      <c r="B63" s="103" t="s">
        <v>173</v>
      </c>
      <c r="C63" s="104" t="s">
        <v>261</v>
      </c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6"/>
      <c r="T63" s="107">
        <v>4</v>
      </c>
    </row>
    <row r="64" spans="2:20" ht="13.5" customHeight="1" x14ac:dyDescent="0.25">
      <c r="B64" s="103" t="s">
        <v>174</v>
      </c>
      <c r="C64" s="104" t="s">
        <v>262</v>
      </c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6"/>
      <c r="T64" s="107">
        <v>2</v>
      </c>
    </row>
    <row r="65" spans="2:20" ht="13.5" customHeight="1" x14ac:dyDescent="0.25">
      <c r="B65" s="103" t="s">
        <v>175</v>
      </c>
      <c r="C65" s="104" t="s">
        <v>263</v>
      </c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6"/>
      <c r="T65" s="107">
        <v>4</v>
      </c>
    </row>
    <row r="66" spans="2:20" ht="13.5" customHeight="1" x14ac:dyDescent="0.25">
      <c r="B66" s="103" t="s">
        <v>176</v>
      </c>
      <c r="C66" s="104" t="s">
        <v>264</v>
      </c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6"/>
      <c r="T66" s="107">
        <v>2</v>
      </c>
    </row>
    <row r="67" spans="2:20" ht="13.5" customHeight="1" x14ac:dyDescent="0.25">
      <c r="B67" s="103" t="s">
        <v>177</v>
      </c>
      <c r="C67" s="104" t="s">
        <v>265</v>
      </c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6"/>
      <c r="T67" s="107">
        <v>2</v>
      </c>
    </row>
    <row r="68" spans="2:20" ht="13.5" customHeight="1" x14ac:dyDescent="0.25">
      <c r="B68" s="103" t="s">
        <v>178</v>
      </c>
      <c r="C68" s="104" t="s">
        <v>266</v>
      </c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6"/>
      <c r="T68" s="107">
        <v>1</v>
      </c>
    </row>
    <row r="69" spans="2:20" ht="13.5" customHeight="1" x14ac:dyDescent="0.25">
      <c r="B69" s="103" t="s">
        <v>179</v>
      </c>
      <c r="C69" s="104" t="s">
        <v>267</v>
      </c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6"/>
      <c r="T69" s="107">
        <v>2</v>
      </c>
    </row>
    <row r="70" spans="2:20" ht="13.5" customHeight="1" x14ac:dyDescent="0.25">
      <c r="B70" s="103" t="s">
        <v>124</v>
      </c>
      <c r="C70" s="104" t="s">
        <v>268</v>
      </c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6"/>
      <c r="T70" s="107">
        <v>1</v>
      </c>
    </row>
    <row r="71" spans="2:20" ht="13.5" customHeight="1" x14ac:dyDescent="0.25">
      <c r="B71" s="103" t="s">
        <v>180</v>
      </c>
      <c r="C71" s="104" t="s">
        <v>269</v>
      </c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6"/>
      <c r="T71" s="107">
        <v>4</v>
      </c>
    </row>
    <row r="72" spans="2:20" ht="13.5" customHeight="1" x14ac:dyDescent="0.25">
      <c r="B72" s="103" t="s">
        <v>181</v>
      </c>
      <c r="C72" s="104" t="s">
        <v>270</v>
      </c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6"/>
      <c r="T72" s="107">
        <v>2</v>
      </c>
    </row>
    <row r="73" spans="2:20" ht="24" customHeight="1" x14ac:dyDescent="0.25">
      <c r="B73" s="103" t="s">
        <v>182</v>
      </c>
      <c r="C73" s="1132" t="s">
        <v>271</v>
      </c>
      <c r="D73" s="1133"/>
      <c r="E73" s="1133"/>
      <c r="F73" s="1133"/>
      <c r="G73" s="1133"/>
      <c r="H73" s="1133"/>
      <c r="I73" s="1133"/>
      <c r="J73" s="1133"/>
      <c r="K73" s="1133"/>
      <c r="L73" s="1133"/>
      <c r="M73" s="1133"/>
      <c r="N73" s="1133"/>
      <c r="O73" s="1133"/>
      <c r="P73" s="1133"/>
      <c r="Q73" s="1133"/>
      <c r="R73" s="1133"/>
      <c r="S73" s="1134"/>
      <c r="T73" s="107">
        <v>1</v>
      </c>
    </row>
    <row r="74" spans="2:20" ht="24" customHeight="1" x14ac:dyDescent="0.25">
      <c r="B74" s="103" t="s">
        <v>183</v>
      </c>
      <c r="C74" s="1132" t="s">
        <v>272</v>
      </c>
      <c r="D74" s="1133"/>
      <c r="E74" s="1133"/>
      <c r="F74" s="1133"/>
      <c r="G74" s="1133"/>
      <c r="H74" s="1133"/>
      <c r="I74" s="1133"/>
      <c r="J74" s="1133"/>
      <c r="K74" s="1133"/>
      <c r="L74" s="1133"/>
      <c r="M74" s="1133"/>
      <c r="N74" s="1133"/>
      <c r="O74" s="1133"/>
      <c r="P74" s="1133"/>
      <c r="Q74" s="1133"/>
      <c r="R74" s="1133"/>
      <c r="S74" s="1134"/>
      <c r="T74" s="107">
        <v>1</v>
      </c>
    </row>
    <row r="75" spans="2:20" ht="19.5" customHeight="1" x14ac:dyDescent="0.25">
      <c r="B75" s="103" t="s">
        <v>184</v>
      </c>
      <c r="C75" s="109" t="s">
        <v>273</v>
      </c>
      <c r="D75" s="110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6"/>
      <c r="T75" s="107">
        <v>15</v>
      </c>
    </row>
    <row r="76" spans="2:20" ht="25.5" customHeight="1" x14ac:dyDescent="0.25">
      <c r="B76" s="103" t="s">
        <v>185</v>
      </c>
      <c r="C76" s="1138" t="s">
        <v>274</v>
      </c>
      <c r="D76" s="1139"/>
      <c r="E76" s="1139"/>
      <c r="F76" s="1139"/>
      <c r="G76" s="1139"/>
      <c r="H76" s="1139"/>
      <c r="I76" s="1139"/>
      <c r="J76" s="1139"/>
      <c r="K76" s="1139"/>
      <c r="L76" s="1139"/>
      <c r="M76" s="1139"/>
      <c r="N76" s="1139"/>
      <c r="O76" s="1139"/>
      <c r="P76" s="1139"/>
      <c r="Q76" s="1139"/>
      <c r="R76" s="1139"/>
      <c r="S76" s="1140"/>
      <c r="T76" s="107">
        <v>10</v>
      </c>
    </row>
    <row r="77" spans="2:20" ht="24.75" customHeight="1" x14ac:dyDescent="0.25">
      <c r="B77" s="103" t="s">
        <v>186</v>
      </c>
      <c r="C77" s="1138" t="s">
        <v>275</v>
      </c>
      <c r="D77" s="1139"/>
      <c r="E77" s="1139"/>
      <c r="F77" s="1139"/>
      <c r="G77" s="1139"/>
      <c r="H77" s="1139"/>
      <c r="I77" s="1139"/>
      <c r="J77" s="1139"/>
      <c r="K77" s="1139"/>
      <c r="L77" s="1139"/>
      <c r="M77" s="1139"/>
      <c r="N77" s="1139"/>
      <c r="O77" s="1139"/>
      <c r="P77" s="1139"/>
      <c r="Q77" s="1139"/>
      <c r="R77" s="1139"/>
      <c r="S77" s="1140"/>
      <c r="T77" s="107">
        <v>5</v>
      </c>
    </row>
    <row r="78" spans="2:20" ht="29.25" customHeight="1" x14ac:dyDescent="0.25">
      <c r="B78" s="79" t="s">
        <v>126</v>
      </c>
      <c r="C78" s="1141" t="s">
        <v>276</v>
      </c>
      <c r="D78" s="1142"/>
      <c r="E78" s="1142"/>
      <c r="F78" s="1142"/>
      <c r="G78" s="1142"/>
      <c r="H78" s="1142"/>
      <c r="I78" s="1142"/>
      <c r="J78" s="1142"/>
      <c r="K78" s="1142"/>
      <c r="L78" s="1142"/>
      <c r="M78" s="1142"/>
      <c r="N78" s="1142"/>
      <c r="O78" s="1142"/>
      <c r="P78" s="1142"/>
      <c r="Q78" s="1142"/>
      <c r="R78" s="1142"/>
      <c r="S78" s="1143"/>
      <c r="T78" s="111">
        <v>0.17</v>
      </c>
    </row>
    <row r="79" spans="2:20" ht="13.5" customHeight="1" x14ac:dyDescent="0.25">
      <c r="B79" s="79" t="s">
        <v>187</v>
      </c>
      <c r="C79" s="112" t="s">
        <v>277</v>
      </c>
      <c r="D79" s="113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5"/>
      <c r="T79" s="111">
        <v>0.08</v>
      </c>
    </row>
    <row r="80" spans="2:20" ht="13.5" customHeight="1" x14ac:dyDescent="0.25">
      <c r="B80" s="79" t="s">
        <v>188</v>
      </c>
      <c r="C80" s="112" t="s">
        <v>278</v>
      </c>
      <c r="D80" s="113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5"/>
      <c r="T80" s="111">
        <v>0.08</v>
      </c>
    </row>
    <row r="81" spans="2:20" ht="13.5" customHeight="1" x14ac:dyDescent="0.25">
      <c r="B81" s="114" t="s">
        <v>189</v>
      </c>
      <c r="C81" s="115" t="s">
        <v>279</v>
      </c>
      <c r="D81" s="116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8"/>
      <c r="T81" s="119">
        <v>1</v>
      </c>
    </row>
    <row r="82" spans="2:20" ht="13.5" customHeight="1" x14ac:dyDescent="0.25">
      <c r="B82" s="114" t="s">
        <v>128</v>
      </c>
      <c r="C82" s="115" t="s">
        <v>280</v>
      </c>
      <c r="D82" s="116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8"/>
      <c r="T82" s="119">
        <v>0.75</v>
      </c>
    </row>
    <row r="83" spans="2:20" ht="13.5" customHeight="1" x14ac:dyDescent="0.25">
      <c r="B83" s="114" t="s">
        <v>190</v>
      </c>
      <c r="C83" s="115" t="s">
        <v>281</v>
      </c>
      <c r="D83" s="116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8"/>
      <c r="T83" s="119">
        <v>1</v>
      </c>
    </row>
    <row r="84" spans="2:20" ht="13.5" customHeight="1" x14ac:dyDescent="0.25">
      <c r="B84" s="114" t="s">
        <v>191</v>
      </c>
      <c r="C84" s="115" t="s">
        <v>282</v>
      </c>
      <c r="D84" s="116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8"/>
      <c r="T84" s="119">
        <v>0.75</v>
      </c>
    </row>
    <row r="85" spans="2:20" ht="13.5" customHeight="1" x14ac:dyDescent="0.25">
      <c r="B85" s="79" t="s">
        <v>192</v>
      </c>
      <c r="C85" s="112" t="s">
        <v>283</v>
      </c>
      <c r="D85" s="113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5"/>
      <c r="T85" s="111">
        <v>0.04</v>
      </c>
    </row>
    <row r="86" spans="2:20" ht="13.5" customHeight="1" x14ac:dyDescent="0.25">
      <c r="B86" s="79" t="s">
        <v>193</v>
      </c>
      <c r="C86" s="112" t="s">
        <v>284</v>
      </c>
      <c r="D86" s="113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5"/>
      <c r="T86" s="111">
        <v>0.04</v>
      </c>
    </row>
    <row r="87" spans="2:20" ht="13.5" customHeight="1" x14ac:dyDescent="0.25">
      <c r="B87" s="79" t="s">
        <v>194</v>
      </c>
      <c r="C87" s="112" t="s">
        <v>285</v>
      </c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1"/>
      <c r="T87" s="111">
        <v>3</v>
      </c>
    </row>
    <row r="88" spans="2:20" ht="13.5" customHeight="1" x14ac:dyDescent="0.25">
      <c r="B88" s="79" t="s">
        <v>195</v>
      </c>
      <c r="C88" s="112" t="s">
        <v>286</v>
      </c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1"/>
      <c r="T88" s="111">
        <v>2</v>
      </c>
    </row>
    <row r="89" spans="2:20" ht="13.5" customHeight="1" x14ac:dyDescent="0.25">
      <c r="B89" s="79" t="s">
        <v>196</v>
      </c>
      <c r="C89" s="112" t="s">
        <v>287</v>
      </c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1"/>
      <c r="T89" s="111">
        <v>1</v>
      </c>
    </row>
    <row r="90" spans="2:20" ht="13.5" customHeight="1" x14ac:dyDescent="0.25">
      <c r="B90" s="79" t="s">
        <v>197</v>
      </c>
      <c r="C90" s="112" t="s">
        <v>288</v>
      </c>
      <c r="D90" s="113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5"/>
      <c r="T90" s="111">
        <v>1</v>
      </c>
    </row>
    <row r="91" spans="2:20" ht="13.5" customHeight="1" x14ac:dyDescent="0.25">
      <c r="B91" s="122"/>
      <c r="C91" s="123"/>
      <c r="D91" s="123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</row>
    <row r="92" spans="2:20" ht="13.5" customHeight="1" x14ac:dyDescent="0.25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</row>
  </sheetData>
  <sheetProtection formatCells="0" formatColumns="0" formatRows="0" selectLockedCells="1" selectUnlockedCells="1"/>
  <mergeCells count="29">
    <mergeCell ref="C44:S44"/>
    <mergeCell ref="B3:D3"/>
    <mergeCell ref="B8:T8"/>
    <mergeCell ref="B9:T9"/>
    <mergeCell ref="C11:S11"/>
    <mergeCell ref="C13:S13"/>
    <mergeCell ref="C14:S14"/>
    <mergeCell ref="C22:S22"/>
    <mergeCell ref="C29:S29"/>
    <mergeCell ref="C36:S36"/>
    <mergeCell ref="C42:S42"/>
    <mergeCell ref="C43:S43"/>
    <mergeCell ref="C60:S60"/>
    <mergeCell ref="C45:S45"/>
    <mergeCell ref="C46:S46"/>
    <mergeCell ref="C47:S47"/>
    <mergeCell ref="C48:S48"/>
    <mergeCell ref="C49:R49"/>
    <mergeCell ref="C50:S50"/>
    <mergeCell ref="C51:S51"/>
    <mergeCell ref="C52:S52"/>
    <mergeCell ref="C56:S56"/>
    <mergeCell ref="C57:S57"/>
    <mergeCell ref="C58:S58"/>
    <mergeCell ref="C73:S73"/>
    <mergeCell ref="C74:S74"/>
    <mergeCell ref="C76:S76"/>
    <mergeCell ref="C77:S77"/>
    <mergeCell ref="C78:S78"/>
  </mergeCells>
  <pageMargins left="0.99" right="0.39" top="0.9" bottom="0.54" header="0.31496062992126" footer="0.31496062992126"/>
  <pageSetup paperSize="5" orientation="portrait" horizontalDpi="4294967293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"/>
  <dimension ref="A1:AI239"/>
  <sheetViews>
    <sheetView topLeftCell="J1" workbookViewId="0">
      <selection activeCell="N114" sqref="N114"/>
    </sheetView>
  </sheetViews>
  <sheetFormatPr defaultRowHeight="12.75" x14ac:dyDescent="0.2"/>
  <cols>
    <col min="1" max="13" width="9.140625" style="1"/>
    <col min="14" max="14" width="12.140625" style="1" customWidth="1"/>
    <col min="15" max="269" width="9.140625" style="1"/>
    <col min="270" max="270" width="12.140625" style="1" customWidth="1"/>
    <col min="271" max="525" width="9.140625" style="1"/>
    <col min="526" max="526" width="12.140625" style="1" customWidth="1"/>
    <col min="527" max="781" width="9.140625" style="1"/>
    <col min="782" max="782" width="12.140625" style="1" customWidth="1"/>
    <col min="783" max="1037" width="9.140625" style="1"/>
    <col min="1038" max="1038" width="12.140625" style="1" customWidth="1"/>
    <col min="1039" max="1293" width="9.140625" style="1"/>
    <col min="1294" max="1294" width="12.140625" style="1" customWidth="1"/>
    <col min="1295" max="1549" width="9.140625" style="1"/>
    <col min="1550" max="1550" width="12.140625" style="1" customWidth="1"/>
    <col min="1551" max="1805" width="9.140625" style="1"/>
    <col min="1806" max="1806" width="12.140625" style="1" customWidth="1"/>
    <col min="1807" max="2061" width="9.140625" style="1"/>
    <col min="2062" max="2062" width="12.140625" style="1" customWidth="1"/>
    <col min="2063" max="2317" width="9.140625" style="1"/>
    <col min="2318" max="2318" width="12.140625" style="1" customWidth="1"/>
    <col min="2319" max="2573" width="9.140625" style="1"/>
    <col min="2574" max="2574" width="12.140625" style="1" customWidth="1"/>
    <col min="2575" max="2829" width="9.140625" style="1"/>
    <col min="2830" max="2830" width="12.140625" style="1" customWidth="1"/>
    <col min="2831" max="3085" width="9.140625" style="1"/>
    <col min="3086" max="3086" width="12.140625" style="1" customWidth="1"/>
    <col min="3087" max="3341" width="9.140625" style="1"/>
    <col min="3342" max="3342" width="12.140625" style="1" customWidth="1"/>
    <col min="3343" max="3597" width="9.140625" style="1"/>
    <col min="3598" max="3598" width="12.140625" style="1" customWidth="1"/>
    <col min="3599" max="3853" width="9.140625" style="1"/>
    <col min="3854" max="3854" width="12.140625" style="1" customWidth="1"/>
    <col min="3855" max="4109" width="9.140625" style="1"/>
    <col min="4110" max="4110" width="12.140625" style="1" customWidth="1"/>
    <col min="4111" max="4365" width="9.140625" style="1"/>
    <col min="4366" max="4366" width="12.140625" style="1" customWidth="1"/>
    <col min="4367" max="4621" width="9.140625" style="1"/>
    <col min="4622" max="4622" width="12.140625" style="1" customWidth="1"/>
    <col min="4623" max="4877" width="9.140625" style="1"/>
    <col min="4878" max="4878" width="12.140625" style="1" customWidth="1"/>
    <col min="4879" max="5133" width="9.140625" style="1"/>
    <col min="5134" max="5134" width="12.140625" style="1" customWidth="1"/>
    <col min="5135" max="5389" width="9.140625" style="1"/>
    <col min="5390" max="5390" width="12.140625" style="1" customWidth="1"/>
    <col min="5391" max="5645" width="9.140625" style="1"/>
    <col min="5646" max="5646" width="12.140625" style="1" customWidth="1"/>
    <col min="5647" max="5901" width="9.140625" style="1"/>
    <col min="5902" max="5902" width="12.140625" style="1" customWidth="1"/>
    <col min="5903" max="6157" width="9.140625" style="1"/>
    <col min="6158" max="6158" width="12.140625" style="1" customWidth="1"/>
    <col min="6159" max="6413" width="9.140625" style="1"/>
    <col min="6414" max="6414" width="12.140625" style="1" customWidth="1"/>
    <col min="6415" max="6669" width="9.140625" style="1"/>
    <col min="6670" max="6670" width="12.140625" style="1" customWidth="1"/>
    <col min="6671" max="6925" width="9.140625" style="1"/>
    <col min="6926" max="6926" width="12.140625" style="1" customWidth="1"/>
    <col min="6927" max="7181" width="9.140625" style="1"/>
    <col min="7182" max="7182" width="12.140625" style="1" customWidth="1"/>
    <col min="7183" max="7437" width="9.140625" style="1"/>
    <col min="7438" max="7438" width="12.140625" style="1" customWidth="1"/>
    <col min="7439" max="7693" width="9.140625" style="1"/>
    <col min="7694" max="7694" width="12.140625" style="1" customWidth="1"/>
    <col min="7695" max="7949" width="9.140625" style="1"/>
    <col min="7950" max="7950" width="12.140625" style="1" customWidth="1"/>
    <col min="7951" max="8205" width="9.140625" style="1"/>
    <col min="8206" max="8206" width="12.140625" style="1" customWidth="1"/>
    <col min="8207" max="8461" width="9.140625" style="1"/>
    <col min="8462" max="8462" width="12.140625" style="1" customWidth="1"/>
    <col min="8463" max="8717" width="9.140625" style="1"/>
    <col min="8718" max="8718" width="12.140625" style="1" customWidth="1"/>
    <col min="8719" max="8973" width="9.140625" style="1"/>
    <col min="8974" max="8974" width="12.140625" style="1" customWidth="1"/>
    <col min="8975" max="9229" width="9.140625" style="1"/>
    <col min="9230" max="9230" width="12.140625" style="1" customWidth="1"/>
    <col min="9231" max="9485" width="9.140625" style="1"/>
    <col min="9486" max="9486" width="12.140625" style="1" customWidth="1"/>
    <col min="9487" max="9741" width="9.140625" style="1"/>
    <col min="9742" max="9742" width="12.140625" style="1" customWidth="1"/>
    <col min="9743" max="9997" width="9.140625" style="1"/>
    <col min="9998" max="9998" width="12.140625" style="1" customWidth="1"/>
    <col min="9999" max="10253" width="9.140625" style="1"/>
    <col min="10254" max="10254" width="12.140625" style="1" customWidth="1"/>
    <col min="10255" max="10509" width="9.140625" style="1"/>
    <col min="10510" max="10510" width="12.140625" style="1" customWidth="1"/>
    <col min="10511" max="10765" width="9.140625" style="1"/>
    <col min="10766" max="10766" width="12.140625" style="1" customWidth="1"/>
    <col min="10767" max="11021" width="9.140625" style="1"/>
    <col min="11022" max="11022" width="12.140625" style="1" customWidth="1"/>
    <col min="11023" max="11277" width="9.140625" style="1"/>
    <col min="11278" max="11278" width="12.140625" style="1" customWidth="1"/>
    <col min="11279" max="11533" width="9.140625" style="1"/>
    <col min="11534" max="11534" width="12.140625" style="1" customWidth="1"/>
    <col min="11535" max="11789" width="9.140625" style="1"/>
    <col min="11790" max="11790" width="12.140625" style="1" customWidth="1"/>
    <col min="11791" max="12045" width="9.140625" style="1"/>
    <col min="12046" max="12046" width="12.140625" style="1" customWidth="1"/>
    <col min="12047" max="12301" width="9.140625" style="1"/>
    <col min="12302" max="12302" width="12.140625" style="1" customWidth="1"/>
    <col min="12303" max="12557" width="9.140625" style="1"/>
    <col min="12558" max="12558" width="12.140625" style="1" customWidth="1"/>
    <col min="12559" max="12813" width="9.140625" style="1"/>
    <col min="12814" max="12814" width="12.140625" style="1" customWidth="1"/>
    <col min="12815" max="13069" width="9.140625" style="1"/>
    <col min="13070" max="13070" width="12.140625" style="1" customWidth="1"/>
    <col min="13071" max="13325" width="9.140625" style="1"/>
    <col min="13326" max="13326" width="12.140625" style="1" customWidth="1"/>
    <col min="13327" max="13581" width="9.140625" style="1"/>
    <col min="13582" max="13582" width="12.140625" style="1" customWidth="1"/>
    <col min="13583" max="13837" width="9.140625" style="1"/>
    <col min="13838" max="13838" width="12.140625" style="1" customWidth="1"/>
    <col min="13839" max="14093" width="9.140625" style="1"/>
    <col min="14094" max="14094" width="12.140625" style="1" customWidth="1"/>
    <col min="14095" max="14349" width="9.140625" style="1"/>
    <col min="14350" max="14350" width="12.140625" style="1" customWidth="1"/>
    <col min="14351" max="14605" width="9.140625" style="1"/>
    <col min="14606" max="14606" width="12.140625" style="1" customWidth="1"/>
    <col min="14607" max="14861" width="9.140625" style="1"/>
    <col min="14862" max="14862" width="12.140625" style="1" customWidth="1"/>
    <col min="14863" max="15117" width="9.140625" style="1"/>
    <col min="15118" max="15118" width="12.140625" style="1" customWidth="1"/>
    <col min="15119" max="15373" width="9.140625" style="1"/>
    <col min="15374" max="15374" width="12.140625" style="1" customWidth="1"/>
    <col min="15375" max="15629" width="9.140625" style="1"/>
    <col min="15630" max="15630" width="12.140625" style="1" customWidth="1"/>
    <col min="15631" max="15885" width="9.140625" style="1"/>
    <col min="15886" max="15886" width="12.140625" style="1" customWidth="1"/>
    <col min="15887" max="16141" width="9.140625" style="1"/>
    <col min="16142" max="16142" width="12.140625" style="1" customWidth="1"/>
    <col min="16143" max="16384" width="9.140625" style="1"/>
  </cols>
  <sheetData>
    <row r="1" spans="1:35" x14ac:dyDescent="0.2">
      <c r="A1" s="1" t="s">
        <v>87</v>
      </c>
      <c r="B1" s="1">
        <v>1</v>
      </c>
      <c r="D1" s="1">
        <v>49</v>
      </c>
      <c r="F1" s="1">
        <v>0.98</v>
      </c>
      <c r="I1" s="1">
        <v>85.49</v>
      </c>
      <c r="K1" s="1" t="s">
        <v>88</v>
      </c>
      <c r="L1" s="1">
        <v>1</v>
      </c>
      <c r="M1" s="1" t="s">
        <v>89</v>
      </c>
      <c r="O1" s="1">
        <v>1</v>
      </c>
      <c r="P1" s="1">
        <v>1</v>
      </c>
      <c r="R1" s="1" t="s">
        <v>90</v>
      </c>
      <c r="S1" s="1" t="s">
        <v>89</v>
      </c>
      <c r="Z1" s="1" t="str">
        <f t="shared" ref="Z1:Z64" si="0">AA1&amp;AB1</f>
        <v>100ada</v>
      </c>
      <c r="AA1" s="1">
        <v>100</v>
      </c>
      <c r="AB1" s="1" t="s">
        <v>91</v>
      </c>
      <c r="AC1" s="1" t="s">
        <v>92</v>
      </c>
      <c r="AF1" s="1">
        <v>120</v>
      </c>
      <c r="AG1" s="1" t="s">
        <v>91</v>
      </c>
      <c r="AH1" s="1" t="str">
        <f>AF1&amp;AG1</f>
        <v>120ada</v>
      </c>
      <c r="AI1" s="1" t="str">
        <f>VLOOKUP(AH1,adaide,4)</f>
        <v>Sangat Baik</v>
      </c>
    </row>
    <row r="2" spans="1:35" x14ac:dyDescent="0.2">
      <c r="A2" s="1">
        <v>2</v>
      </c>
      <c r="B2" s="1">
        <v>2</v>
      </c>
      <c r="D2" s="1">
        <v>49</v>
      </c>
      <c r="F2" s="1">
        <v>1.96</v>
      </c>
      <c r="I2" s="2">
        <f>VLOOKUP(I1,konversi,2)+(VLOOKUP(I1,konversi,3)*(I1-VLOOKUP(I1,konversi,4)))</f>
        <v>102.90639999999999</v>
      </c>
      <c r="L2" s="1">
        <v>2</v>
      </c>
      <c r="M2" s="1" t="s">
        <v>89</v>
      </c>
      <c r="O2" s="1">
        <v>2</v>
      </c>
      <c r="P2" s="1">
        <v>2</v>
      </c>
      <c r="R2" s="1" t="s">
        <v>90</v>
      </c>
      <c r="S2" s="1" t="s">
        <v>89</v>
      </c>
      <c r="Z2" s="1" t="str">
        <f t="shared" si="0"/>
        <v>100tidak ada</v>
      </c>
      <c r="AA2" s="1">
        <v>100</v>
      </c>
      <c r="AB2" s="1" t="s">
        <v>90</v>
      </c>
      <c r="AC2" s="1" t="s">
        <v>92</v>
      </c>
      <c r="AF2" s="1">
        <v>95</v>
      </c>
      <c r="AG2" s="1" t="s">
        <v>91</v>
      </c>
      <c r="AH2" s="1" t="str">
        <f>AF2&amp;AG2</f>
        <v>95ada</v>
      </c>
      <c r="AI2" s="1" t="str">
        <f>VLOOKUP(AH2,adaide,4)</f>
        <v>Baik</v>
      </c>
    </row>
    <row r="3" spans="1:35" x14ac:dyDescent="0.2">
      <c r="A3" s="1">
        <v>3</v>
      </c>
      <c r="B3" s="1">
        <v>3</v>
      </c>
      <c r="D3" s="1">
        <v>49</v>
      </c>
      <c r="F3" s="1">
        <v>2.94</v>
      </c>
      <c r="I3" s="3">
        <f>VLOOKUP(I1,konversi,2)+VLOOKUP(I1,konversi,3)*(I1-VLOOKUP(I1,konversi,4))</f>
        <v>102.90639999999999</v>
      </c>
      <c r="L3" s="1">
        <v>3</v>
      </c>
      <c r="M3" s="1" t="s">
        <v>89</v>
      </c>
      <c r="O3" s="1">
        <v>3</v>
      </c>
      <c r="P3" s="1">
        <v>3</v>
      </c>
      <c r="R3" s="1" t="s">
        <v>90</v>
      </c>
      <c r="S3" s="1" t="s">
        <v>89</v>
      </c>
      <c r="Z3" s="1" t="str">
        <f t="shared" si="0"/>
        <v>101ada</v>
      </c>
      <c r="AA3" s="1">
        <v>101</v>
      </c>
      <c r="AB3" s="1" t="s">
        <v>91</v>
      </c>
      <c r="AC3" s="1" t="s">
        <v>92</v>
      </c>
      <c r="AF3" s="1">
        <v>113</v>
      </c>
      <c r="AG3" s="1" t="s">
        <v>90</v>
      </c>
      <c r="AH3" s="1" t="str">
        <f>AF3&amp;AG3</f>
        <v>113tidak ada</v>
      </c>
      <c r="AI3" s="1" t="str">
        <f>VLOOKUP(AH3,adaide,4)</f>
        <v>Baik</v>
      </c>
    </row>
    <row r="4" spans="1:35" x14ac:dyDescent="0.2">
      <c r="A4" s="1">
        <v>4</v>
      </c>
      <c r="B4" s="1">
        <v>4</v>
      </c>
      <c r="D4" s="1">
        <v>49</v>
      </c>
      <c r="F4" s="1">
        <v>3.92</v>
      </c>
      <c r="L4" s="1">
        <v>4</v>
      </c>
      <c r="M4" s="1" t="s">
        <v>89</v>
      </c>
      <c r="O4" s="1">
        <v>4</v>
      </c>
      <c r="P4" s="1">
        <v>4</v>
      </c>
      <c r="R4" s="1" t="s">
        <v>90</v>
      </c>
      <c r="S4" s="1" t="s">
        <v>89</v>
      </c>
      <c r="Z4" s="1" t="str">
        <f t="shared" si="0"/>
        <v>101tidak ada</v>
      </c>
      <c r="AA4" s="1">
        <v>101</v>
      </c>
      <c r="AB4" s="1" t="s">
        <v>90</v>
      </c>
      <c r="AC4" s="1" t="s">
        <v>92</v>
      </c>
    </row>
    <row r="5" spans="1:35" x14ac:dyDescent="0.2">
      <c r="A5" s="1">
        <v>5</v>
      </c>
      <c r="B5" s="1">
        <v>5</v>
      </c>
      <c r="D5" s="1">
        <v>49</v>
      </c>
      <c r="F5" s="1">
        <v>4.9000000000000004</v>
      </c>
      <c r="L5" s="1">
        <v>5</v>
      </c>
      <c r="M5" s="1" t="s">
        <v>89</v>
      </c>
      <c r="O5" s="1">
        <v>5</v>
      </c>
      <c r="P5" s="1">
        <v>5</v>
      </c>
      <c r="R5" s="1" t="s">
        <v>90</v>
      </c>
      <c r="S5" s="1" t="s">
        <v>89</v>
      </c>
      <c r="Z5" s="1" t="str">
        <f t="shared" si="0"/>
        <v>102ada</v>
      </c>
      <c r="AA5" s="1">
        <v>102</v>
      </c>
      <c r="AB5" s="1" t="s">
        <v>91</v>
      </c>
      <c r="AC5" s="1" t="s">
        <v>92</v>
      </c>
    </row>
    <row r="6" spans="1:35" x14ac:dyDescent="0.2">
      <c r="A6" s="1">
        <v>6</v>
      </c>
      <c r="B6" s="1">
        <v>6</v>
      </c>
      <c r="D6" s="1">
        <v>49</v>
      </c>
      <c r="F6" s="1">
        <v>5.88</v>
      </c>
      <c r="L6" s="1">
        <v>6</v>
      </c>
      <c r="M6" s="1" t="s">
        <v>89</v>
      </c>
      <c r="O6" s="1">
        <v>6</v>
      </c>
      <c r="P6" s="1">
        <v>6</v>
      </c>
      <c r="R6" s="1" t="s">
        <v>90</v>
      </c>
      <c r="S6" s="1" t="s">
        <v>89</v>
      </c>
      <c r="Z6" s="1" t="str">
        <f t="shared" si="0"/>
        <v>102tidak ada</v>
      </c>
      <c r="AA6" s="1">
        <v>102</v>
      </c>
      <c r="AB6" s="1" t="s">
        <v>90</v>
      </c>
      <c r="AC6" s="1" t="s">
        <v>92</v>
      </c>
    </row>
    <row r="7" spans="1:35" x14ac:dyDescent="0.2">
      <c r="A7" s="1">
        <v>7</v>
      </c>
      <c r="B7" s="1">
        <v>7</v>
      </c>
      <c r="D7" s="1">
        <v>49</v>
      </c>
      <c r="F7" s="1">
        <v>6.86</v>
      </c>
      <c r="L7" s="1">
        <v>7</v>
      </c>
      <c r="M7" s="1" t="s">
        <v>89</v>
      </c>
      <c r="O7" s="1">
        <v>7</v>
      </c>
      <c r="P7" s="1">
        <v>7</v>
      </c>
      <c r="R7" s="1" t="s">
        <v>90</v>
      </c>
      <c r="S7" s="1" t="s">
        <v>89</v>
      </c>
      <c r="Z7" s="1" t="str">
        <f t="shared" si="0"/>
        <v>103ada</v>
      </c>
      <c r="AA7" s="1">
        <v>103</v>
      </c>
      <c r="AB7" s="1" t="s">
        <v>91</v>
      </c>
      <c r="AC7" s="1" t="s">
        <v>92</v>
      </c>
    </row>
    <row r="8" spans="1:35" x14ac:dyDescent="0.2">
      <c r="A8" s="1">
        <v>8</v>
      </c>
      <c r="B8" s="1">
        <v>8</v>
      </c>
      <c r="D8" s="1">
        <v>49</v>
      </c>
      <c r="F8" s="1">
        <v>7.84</v>
      </c>
      <c r="I8" s="1">
        <v>93.6</v>
      </c>
      <c r="L8" s="1">
        <v>8</v>
      </c>
      <c r="M8" s="1" t="s">
        <v>89</v>
      </c>
      <c r="O8" s="1">
        <v>8</v>
      </c>
      <c r="P8" s="1">
        <v>8</v>
      </c>
      <c r="R8" s="1" t="s">
        <v>90</v>
      </c>
      <c r="S8" s="1" t="s">
        <v>89</v>
      </c>
      <c r="Z8" s="1" t="str">
        <f t="shared" si="0"/>
        <v>103tidak ada</v>
      </c>
      <c r="AA8" s="1">
        <v>103</v>
      </c>
      <c r="AB8" s="1" t="s">
        <v>90</v>
      </c>
      <c r="AC8" s="1" t="s">
        <v>92</v>
      </c>
    </row>
    <row r="9" spans="1:35" x14ac:dyDescent="0.2">
      <c r="A9" s="1">
        <v>9</v>
      </c>
      <c r="B9" s="1">
        <v>9</v>
      </c>
      <c r="D9" s="1">
        <v>49</v>
      </c>
      <c r="F9" s="1">
        <v>8.82</v>
      </c>
      <c r="L9" s="1">
        <v>9</v>
      </c>
      <c r="M9" s="1" t="s">
        <v>89</v>
      </c>
      <c r="O9" s="1">
        <v>9</v>
      </c>
      <c r="P9" s="1">
        <v>9</v>
      </c>
      <c r="R9" s="1" t="s">
        <v>90</v>
      </c>
      <c r="S9" s="1" t="s">
        <v>89</v>
      </c>
      <c r="Z9" s="1" t="str">
        <f t="shared" si="0"/>
        <v>104ada</v>
      </c>
      <c r="AA9" s="1">
        <v>104</v>
      </c>
      <c r="AB9" s="1" t="s">
        <v>91</v>
      </c>
      <c r="AC9" s="1" t="s">
        <v>92</v>
      </c>
    </row>
    <row r="10" spans="1:35" x14ac:dyDescent="0.2">
      <c r="A10" s="1">
        <v>10</v>
      </c>
      <c r="B10" s="1">
        <v>10</v>
      </c>
      <c r="D10" s="1">
        <v>49</v>
      </c>
      <c r="F10" s="1">
        <v>9.8000000000000007</v>
      </c>
      <c r="L10" s="1">
        <v>10</v>
      </c>
      <c r="M10" s="1" t="s">
        <v>89</v>
      </c>
      <c r="O10" s="1">
        <v>10</v>
      </c>
      <c r="P10" s="1">
        <v>10</v>
      </c>
      <c r="R10" s="1" t="s">
        <v>90</v>
      </c>
      <c r="S10" s="1" t="s">
        <v>89</v>
      </c>
      <c r="Z10" s="1" t="str">
        <f t="shared" si="0"/>
        <v>104tidak ada</v>
      </c>
      <c r="AA10" s="1">
        <v>104</v>
      </c>
      <c r="AB10" s="1" t="s">
        <v>90</v>
      </c>
      <c r="AC10" s="1" t="s">
        <v>92</v>
      </c>
    </row>
    <row r="11" spans="1:35" x14ac:dyDescent="0.2">
      <c r="A11" s="1">
        <v>11</v>
      </c>
      <c r="B11" s="1">
        <v>11</v>
      </c>
      <c r="D11" s="1">
        <v>49</v>
      </c>
      <c r="F11" s="1">
        <v>10.78</v>
      </c>
      <c r="L11" s="1">
        <v>11</v>
      </c>
      <c r="M11" s="1" t="s">
        <v>89</v>
      </c>
      <c r="O11" s="1">
        <v>11</v>
      </c>
      <c r="P11" s="1">
        <v>11</v>
      </c>
      <c r="R11" s="1" t="s">
        <v>90</v>
      </c>
      <c r="S11" s="1" t="s">
        <v>89</v>
      </c>
      <c r="Z11" s="1" t="str">
        <f t="shared" si="0"/>
        <v>105ada</v>
      </c>
      <c r="AA11" s="1">
        <v>105</v>
      </c>
      <c r="AB11" s="1" t="s">
        <v>91</v>
      </c>
      <c r="AC11" s="1" t="s">
        <v>92</v>
      </c>
    </row>
    <row r="12" spans="1:35" x14ac:dyDescent="0.2">
      <c r="A12" s="1">
        <v>12</v>
      </c>
      <c r="B12" s="1">
        <v>12</v>
      </c>
      <c r="D12" s="1">
        <v>49</v>
      </c>
      <c r="F12" s="1">
        <v>11.76</v>
      </c>
      <c r="L12" s="1">
        <v>12</v>
      </c>
      <c r="M12" s="1" t="s">
        <v>89</v>
      </c>
      <c r="O12" s="1">
        <v>12</v>
      </c>
      <c r="P12" s="1">
        <v>12</v>
      </c>
      <c r="R12" s="1" t="s">
        <v>90</v>
      </c>
      <c r="S12" s="1" t="s">
        <v>89</v>
      </c>
      <c r="Z12" s="1" t="str">
        <f t="shared" si="0"/>
        <v>105tidak ada</v>
      </c>
      <c r="AA12" s="1">
        <v>105</v>
      </c>
      <c r="AB12" s="1" t="s">
        <v>90</v>
      </c>
      <c r="AC12" s="1" t="s">
        <v>92</v>
      </c>
    </row>
    <row r="13" spans="1:35" x14ac:dyDescent="0.2">
      <c r="A13" s="1">
        <v>13</v>
      </c>
      <c r="B13" s="1">
        <v>13</v>
      </c>
      <c r="D13" s="1">
        <v>49</v>
      </c>
      <c r="F13" s="1">
        <v>12.74</v>
      </c>
      <c r="L13" s="1">
        <v>13</v>
      </c>
      <c r="M13" s="1" t="s">
        <v>89</v>
      </c>
      <c r="O13" s="1">
        <v>13</v>
      </c>
      <c r="P13" s="1">
        <v>13</v>
      </c>
      <c r="R13" s="1" t="s">
        <v>90</v>
      </c>
      <c r="S13" s="1" t="s">
        <v>89</v>
      </c>
      <c r="Z13" s="1" t="str">
        <f t="shared" si="0"/>
        <v>106ada</v>
      </c>
      <c r="AA13" s="1">
        <v>106</v>
      </c>
      <c r="AB13" s="1" t="s">
        <v>91</v>
      </c>
      <c r="AC13" s="1" t="s">
        <v>92</v>
      </c>
    </row>
    <row r="14" spans="1:35" x14ac:dyDescent="0.2">
      <c r="A14" s="1">
        <v>14</v>
      </c>
      <c r="B14" s="1">
        <v>14</v>
      </c>
      <c r="D14" s="1">
        <v>49</v>
      </c>
      <c r="F14" s="1">
        <v>13.72</v>
      </c>
      <c r="L14" s="1">
        <v>14</v>
      </c>
      <c r="M14" s="1" t="s">
        <v>89</v>
      </c>
      <c r="O14" s="1">
        <v>14</v>
      </c>
      <c r="P14" s="1">
        <v>14</v>
      </c>
      <c r="R14" s="1" t="s">
        <v>90</v>
      </c>
      <c r="S14" s="1" t="s">
        <v>89</v>
      </c>
      <c r="Z14" s="1" t="str">
        <f t="shared" si="0"/>
        <v>106tidak ada</v>
      </c>
      <c r="AA14" s="1">
        <v>106</v>
      </c>
      <c r="AB14" s="1" t="s">
        <v>90</v>
      </c>
      <c r="AC14" s="1" t="s">
        <v>92</v>
      </c>
    </row>
    <row r="15" spans="1:35" x14ac:dyDescent="0.2">
      <c r="A15" s="1">
        <v>15</v>
      </c>
      <c r="B15" s="1">
        <v>15</v>
      </c>
      <c r="D15" s="1">
        <v>49</v>
      </c>
      <c r="F15" s="1">
        <v>14.7</v>
      </c>
      <c r="L15" s="1">
        <v>15</v>
      </c>
      <c r="M15" s="1" t="s">
        <v>89</v>
      </c>
      <c r="O15" s="1">
        <v>15</v>
      </c>
      <c r="P15" s="1">
        <v>15</v>
      </c>
      <c r="R15" s="1" t="s">
        <v>90</v>
      </c>
      <c r="S15" s="1" t="s">
        <v>89</v>
      </c>
      <c r="Z15" s="1" t="str">
        <f t="shared" si="0"/>
        <v>107ada</v>
      </c>
      <c r="AA15" s="1">
        <v>107</v>
      </c>
      <c r="AB15" s="1" t="s">
        <v>91</v>
      </c>
      <c r="AC15" s="1" t="s">
        <v>92</v>
      </c>
    </row>
    <row r="16" spans="1:35" x14ac:dyDescent="0.2">
      <c r="A16" s="1">
        <v>16</v>
      </c>
      <c r="B16" s="1">
        <v>16</v>
      </c>
      <c r="D16" s="1">
        <v>49</v>
      </c>
      <c r="F16" s="1">
        <v>15.68</v>
      </c>
      <c r="L16" s="1">
        <v>16</v>
      </c>
      <c r="M16" s="1" t="s">
        <v>89</v>
      </c>
      <c r="O16" s="1">
        <v>16</v>
      </c>
      <c r="P16" s="1">
        <v>16</v>
      </c>
      <c r="R16" s="1" t="s">
        <v>90</v>
      </c>
      <c r="S16" s="1" t="s">
        <v>89</v>
      </c>
      <c r="Z16" s="1" t="str">
        <f t="shared" si="0"/>
        <v>107tidak ada</v>
      </c>
      <c r="AA16" s="1">
        <v>107</v>
      </c>
      <c r="AB16" s="1" t="s">
        <v>90</v>
      </c>
      <c r="AC16" s="1" t="s">
        <v>92</v>
      </c>
    </row>
    <row r="17" spans="1:29" x14ac:dyDescent="0.2">
      <c r="A17" s="1">
        <v>17</v>
      </c>
      <c r="B17" s="1">
        <v>17</v>
      </c>
      <c r="D17" s="1">
        <v>49</v>
      </c>
      <c r="F17" s="1">
        <v>16.66</v>
      </c>
      <c r="L17" s="1">
        <v>17</v>
      </c>
      <c r="M17" s="1" t="s">
        <v>89</v>
      </c>
      <c r="O17" s="1">
        <v>17</v>
      </c>
      <c r="P17" s="1">
        <v>17</v>
      </c>
      <c r="R17" s="1" t="s">
        <v>90</v>
      </c>
      <c r="S17" s="1" t="s">
        <v>89</v>
      </c>
      <c r="Z17" s="1" t="str">
        <f t="shared" si="0"/>
        <v>108ada</v>
      </c>
      <c r="AA17" s="1">
        <v>108</v>
      </c>
      <c r="AB17" s="1" t="s">
        <v>91</v>
      </c>
      <c r="AC17" s="1" t="s">
        <v>92</v>
      </c>
    </row>
    <row r="18" spans="1:29" x14ac:dyDescent="0.2">
      <c r="A18" s="1">
        <v>18</v>
      </c>
      <c r="B18" s="1">
        <v>18</v>
      </c>
      <c r="D18" s="1">
        <v>49</v>
      </c>
      <c r="F18" s="1">
        <v>17.64</v>
      </c>
      <c r="L18" s="1">
        <v>18</v>
      </c>
      <c r="M18" s="1" t="s">
        <v>89</v>
      </c>
      <c r="O18" s="1">
        <v>18</v>
      </c>
      <c r="P18" s="1">
        <v>18</v>
      </c>
      <c r="R18" s="1" t="s">
        <v>90</v>
      </c>
      <c r="S18" s="1" t="s">
        <v>89</v>
      </c>
      <c r="Z18" s="1" t="str">
        <f t="shared" si="0"/>
        <v>108tidak ada</v>
      </c>
      <c r="AA18" s="1">
        <v>108</v>
      </c>
      <c r="AB18" s="1" t="s">
        <v>90</v>
      </c>
      <c r="AC18" s="1" t="s">
        <v>92</v>
      </c>
    </row>
    <row r="19" spans="1:29" x14ac:dyDescent="0.2">
      <c r="A19" s="1">
        <v>19</v>
      </c>
      <c r="B19" s="1">
        <v>19</v>
      </c>
      <c r="D19" s="1">
        <v>49</v>
      </c>
      <c r="F19" s="1">
        <v>18.62</v>
      </c>
      <c r="L19" s="1">
        <v>19</v>
      </c>
      <c r="M19" s="1" t="s">
        <v>89</v>
      </c>
      <c r="O19" s="1">
        <v>19</v>
      </c>
      <c r="P19" s="1">
        <v>19</v>
      </c>
      <c r="R19" s="1" t="s">
        <v>90</v>
      </c>
      <c r="S19" s="1" t="s">
        <v>89</v>
      </c>
      <c r="Z19" s="1" t="str">
        <f t="shared" si="0"/>
        <v>109ada</v>
      </c>
      <c r="AA19" s="1">
        <v>109</v>
      </c>
      <c r="AB19" s="1" t="s">
        <v>91</v>
      </c>
      <c r="AC19" s="1" t="s">
        <v>92</v>
      </c>
    </row>
    <row r="20" spans="1:29" x14ac:dyDescent="0.2">
      <c r="A20" s="1">
        <v>20</v>
      </c>
      <c r="B20" s="1">
        <v>20</v>
      </c>
      <c r="D20" s="1">
        <v>49</v>
      </c>
      <c r="F20" s="1">
        <v>19.600000000000001</v>
      </c>
      <c r="L20" s="1">
        <v>20</v>
      </c>
      <c r="M20" s="1" t="s">
        <v>89</v>
      </c>
      <c r="O20" s="1">
        <v>20</v>
      </c>
      <c r="P20" s="1">
        <v>20</v>
      </c>
      <c r="R20" s="1" t="s">
        <v>90</v>
      </c>
      <c r="S20" s="1" t="s">
        <v>89</v>
      </c>
      <c r="Z20" s="1" t="str">
        <f t="shared" si="0"/>
        <v>109tidak ada</v>
      </c>
      <c r="AA20" s="1">
        <v>109</v>
      </c>
      <c r="AB20" s="1" t="s">
        <v>90</v>
      </c>
      <c r="AC20" s="1" t="s">
        <v>92</v>
      </c>
    </row>
    <row r="21" spans="1:29" x14ac:dyDescent="0.2">
      <c r="A21" s="1">
        <v>21</v>
      </c>
      <c r="B21" s="1">
        <v>21</v>
      </c>
      <c r="D21" s="1">
        <v>49</v>
      </c>
      <c r="F21" s="1">
        <v>20.58</v>
      </c>
      <c r="L21" s="1">
        <v>21</v>
      </c>
      <c r="M21" s="1" t="s">
        <v>89</v>
      </c>
      <c r="O21" s="1">
        <v>21</v>
      </c>
      <c r="P21" s="1">
        <v>21</v>
      </c>
      <c r="R21" s="1" t="s">
        <v>90</v>
      </c>
      <c r="S21" s="1" t="s">
        <v>89</v>
      </c>
      <c r="Z21" s="1" t="str">
        <f t="shared" si="0"/>
        <v>10ada</v>
      </c>
      <c r="AA21" s="1">
        <v>10</v>
      </c>
      <c r="AB21" s="1" t="s">
        <v>91</v>
      </c>
      <c r="AC21" s="1" t="s">
        <v>89</v>
      </c>
    </row>
    <row r="22" spans="1:29" x14ac:dyDescent="0.2">
      <c r="A22" s="1">
        <v>22</v>
      </c>
      <c r="B22" s="1">
        <v>22</v>
      </c>
      <c r="D22" s="1">
        <v>49</v>
      </c>
      <c r="F22" s="1">
        <v>21.56</v>
      </c>
      <c r="L22" s="1">
        <v>22</v>
      </c>
      <c r="M22" s="1" t="s">
        <v>89</v>
      </c>
      <c r="O22" s="1">
        <v>22</v>
      </c>
      <c r="P22" s="1">
        <v>22</v>
      </c>
      <c r="R22" s="1" t="s">
        <v>90</v>
      </c>
      <c r="S22" s="1" t="s">
        <v>89</v>
      </c>
      <c r="Z22" s="1" t="str">
        <f t="shared" si="0"/>
        <v>10tidak ada</v>
      </c>
      <c r="AA22" s="1">
        <v>10</v>
      </c>
      <c r="AB22" s="1" t="s">
        <v>90</v>
      </c>
      <c r="AC22" s="1" t="s">
        <v>89</v>
      </c>
    </row>
    <row r="23" spans="1:29" x14ac:dyDescent="0.2">
      <c r="A23" s="1">
        <v>23</v>
      </c>
      <c r="B23" s="1">
        <v>23</v>
      </c>
      <c r="D23" s="1">
        <v>49</v>
      </c>
      <c r="F23" s="1">
        <v>22.540000000000003</v>
      </c>
      <c r="L23" s="1">
        <v>23</v>
      </c>
      <c r="M23" s="1" t="s">
        <v>89</v>
      </c>
      <c r="O23" s="1">
        <v>23</v>
      </c>
      <c r="P23" s="1">
        <v>23</v>
      </c>
      <c r="R23" s="1" t="s">
        <v>90</v>
      </c>
      <c r="S23" s="1" t="s">
        <v>89</v>
      </c>
      <c r="Z23" s="1" t="str">
        <f t="shared" si="0"/>
        <v>110ada</v>
      </c>
      <c r="AA23" s="1">
        <v>110</v>
      </c>
      <c r="AB23" s="1" t="s">
        <v>91</v>
      </c>
      <c r="AC23" s="1" t="s">
        <v>93</v>
      </c>
    </row>
    <row r="24" spans="1:29" x14ac:dyDescent="0.2">
      <c r="A24" s="1">
        <v>24</v>
      </c>
      <c r="B24" s="1">
        <v>24</v>
      </c>
      <c r="D24" s="1">
        <v>49</v>
      </c>
      <c r="F24" s="1">
        <v>23.52</v>
      </c>
      <c r="L24" s="1">
        <v>24</v>
      </c>
      <c r="M24" s="1" t="s">
        <v>89</v>
      </c>
      <c r="O24" s="1">
        <v>24</v>
      </c>
      <c r="P24" s="1">
        <v>24</v>
      </c>
      <c r="R24" s="1" t="s">
        <v>90</v>
      </c>
      <c r="S24" s="1" t="s">
        <v>89</v>
      </c>
      <c r="Z24" s="1" t="str">
        <f t="shared" si="0"/>
        <v>110tidak ada</v>
      </c>
      <c r="AA24" s="1">
        <v>110</v>
      </c>
      <c r="AB24" s="1" t="s">
        <v>90</v>
      </c>
      <c r="AC24" s="1" t="s">
        <v>92</v>
      </c>
    </row>
    <row r="25" spans="1:29" x14ac:dyDescent="0.2">
      <c r="A25" s="1">
        <v>25</v>
      </c>
      <c r="B25" s="1">
        <v>25</v>
      </c>
      <c r="D25" s="1">
        <v>49</v>
      </c>
      <c r="F25" s="1">
        <v>24.5</v>
      </c>
      <c r="L25" s="1">
        <v>25</v>
      </c>
      <c r="M25" s="1" t="s">
        <v>89</v>
      </c>
      <c r="O25" s="1">
        <v>25</v>
      </c>
      <c r="P25" s="1">
        <v>25</v>
      </c>
      <c r="R25" s="1" t="s">
        <v>90</v>
      </c>
      <c r="S25" s="1" t="s">
        <v>89</v>
      </c>
      <c r="Z25" s="1" t="str">
        <f t="shared" si="0"/>
        <v>111ada</v>
      </c>
      <c r="AA25" s="1">
        <v>111</v>
      </c>
      <c r="AB25" s="1" t="s">
        <v>91</v>
      </c>
      <c r="AC25" s="1" t="s">
        <v>93</v>
      </c>
    </row>
    <row r="26" spans="1:29" x14ac:dyDescent="0.2">
      <c r="A26" s="1">
        <v>26</v>
      </c>
      <c r="B26" s="1">
        <v>26</v>
      </c>
      <c r="D26" s="1">
        <v>49</v>
      </c>
      <c r="F26" s="1">
        <v>25.48</v>
      </c>
      <c r="L26" s="1">
        <v>26</v>
      </c>
      <c r="M26" s="1" t="s">
        <v>89</v>
      </c>
      <c r="O26" s="1">
        <v>26</v>
      </c>
      <c r="P26" s="1">
        <v>26</v>
      </c>
      <c r="R26" s="1" t="s">
        <v>90</v>
      </c>
      <c r="S26" s="1" t="s">
        <v>89</v>
      </c>
      <c r="Z26" s="1" t="str">
        <f t="shared" si="0"/>
        <v>111tidak ada</v>
      </c>
      <c r="AA26" s="1">
        <v>111</v>
      </c>
      <c r="AB26" s="1" t="s">
        <v>90</v>
      </c>
      <c r="AC26" s="1" t="s">
        <v>92</v>
      </c>
    </row>
    <row r="27" spans="1:29" x14ac:dyDescent="0.2">
      <c r="A27" s="1">
        <v>27</v>
      </c>
      <c r="B27" s="1">
        <v>27</v>
      </c>
      <c r="D27" s="1">
        <v>49</v>
      </c>
      <c r="F27" s="1">
        <v>26.46</v>
      </c>
      <c r="L27" s="1">
        <v>27</v>
      </c>
      <c r="M27" s="1" t="s">
        <v>89</v>
      </c>
      <c r="O27" s="1">
        <v>27</v>
      </c>
      <c r="P27" s="1">
        <v>27</v>
      </c>
      <c r="R27" s="1" t="s">
        <v>90</v>
      </c>
      <c r="S27" s="1" t="s">
        <v>89</v>
      </c>
      <c r="Z27" s="1" t="str">
        <f t="shared" si="0"/>
        <v>112ada</v>
      </c>
      <c r="AA27" s="1">
        <v>112</v>
      </c>
      <c r="AB27" s="1" t="s">
        <v>91</v>
      </c>
      <c r="AC27" s="1" t="s">
        <v>93</v>
      </c>
    </row>
    <row r="28" spans="1:29" x14ac:dyDescent="0.2">
      <c r="A28" s="1">
        <v>28</v>
      </c>
      <c r="B28" s="1">
        <v>28</v>
      </c>
      <c r="D28" s="1">
        <v>49</v>
      </c>
      <c r="F28" s="1">
        <v>27.44</v>
      </c>
      <c r="L28" s="1">
        <v>28</v>
      </c>
      <c r="M28" s="1" t="s">
        <v>89</v>
      </c>
      <c r="O28" s="1">
        <v>28</v>
      </c>
      <c r="P28" s="1">
        <v>28</v>
      </c>
      <c r="R28" s="1" t="s">
        <v>90</v>
      </c>
      <c r="S28" s="1" t="s">
        <v>89</v>
      </c>
      <c r="Z28" s="1" t="str">
        <f t="shared" si="0"/>
        <v>112tidak ada</v>
      </c>
      <c r="AA28" s="1">
        <v>112</v>
      </c>
      <c r="AB28" s="1" t="s">
        <v>90</v>
      </c>
      <c r="AC28" s="1" t="s">
        <v>92</v>
      </c>
    </row>
    <row r="29" spans="1:29" x14ac:dyDescent="0.2">
      <c r="A29" s="1">
        <v>29</v>
      </c>
      <c r="B29" s="1">
        <v>29</v>
      </c>
      <c r="D29" s="1">
        <v>49</v>
      </c>
      <c r="F29" s="1">
        <v>28.419999999999998</v>
      </c>
      <c r="L29" s="1">
        <v>29</v>
      </c>
      <c r="M29" s="1" t="s">
        <v>89</v>
      </c>
      <c r="O29" s="1">
        <v>29</v>
      </c>
      <c r="P29" s="1">
        <v>29</v>
      </c>
      <c r="R29" s="1" t="s">
        <v>90</v>
      </c>
      <c r="S29" s="1" t="s">
        <v>89</v>
      </c>
      <c r="Z29" s="1" t="str">
        <f t="shared" si="0"/>
        <v>113ada</v>
      </c>
      <c r="AA29" s="1">
        <v>113</v>
      </c>
      <c r="AB29" s="1" t="s">
        <v>91</v>
      </c>
      <c r="AC29" s="1" t="s">
        <v>93</v>
      </c>
    </row>
    <row r="30" spans="1:29" x14ac:dyDescent="0.2">
      <c r="A30" s="1">
        <v>30</v>
      </c>
      <c r="B30" s="1">
        <v>30</v>
      </c>
      <c r="D30" s="1">
        <v>49</v>
      </c>
      <c r="F30" s="1">
        <v>29.4</v>
      </c>
      <c r="L30" s="1">
        <v>30</v>
      </c>
      <c r="M30" s="1" t="s">
        <v>89</v>
      </c>
      <c r="O30" s="1">
        <v>30</v>
      </c>
      <c r="P30" s="1">
        <v>30</v>
      </c>
      <c r="R30" s="1" t="s">
        <v>90</v>
      </c>
      <c r="S30" s="1" t="s">
        <v>89</v>
      </c>
      <c r="Z30" s="1" t="str">
        <f t="shared" si="0"/>
        <v>113tidak ada</v>
      </c>
      <c r="AA30" s="1">
        <v>113</v>
      </c>
      <c r="AB30" s="1" t="s">
        <v>90</v>
      </c>
      <c r="AC30" s="1" t="s">
        <v>92</v>
      </c>
    </row>
    <row r="31" spans="1:29" x14ac:dyDescent="0.2">
      <c r="A31" s="1">
        <v>31</v>
      </c>
      <c r="B31" s="1">
        <v>31</v>
      </c>
      <c r="D31" s="1">
        <v>49</v>
      </c>
      <c r="F31" s="1">
        <v>30.38</v>
      </c>
      <c r="L31" s="1">
        <v>31</v>
      </c>
      <c r="M31" s="1" t="s">
        <v>89</v>
      </c>
      <c r="O31" s="1">
        <v>31</v>
      </c>
      <c r="P31" s="1">
        <v>31</v>
      </c>
      <c r="R31" s="1" t="s">
        <v>90</v>
      </c>
      <c r="S31" s="1" t="s">
        <v>89</v>
      </c>
      <c r="Z31" s="1" t="str">
        <f t="shared" si="0"/>
        <v>114ada</v>
      </c>
      <c r="AA31" s="1">
        <v>114</v>
      </c>
      <c r="AB31" s="1" t="s">
        <v>91</v>
      </c>
      <c r="AC31" s="1" t="s">
        <v>93</v>
      </c>
    </row>
    <row r="32" spans="1:29" x14ac:dyDescent="0.2">
      <c r="A32" s="1">
        <v>32</v>
      </c>
      <c r="B32" s="1">
        <v>32</v>
      </c>
      <c r="D32" s="1">
        <v>49</v>
      </c>
      <c r="F32" s="1">
        <v>31.36</v>
      </c>
      <c r="L32" s="1">
        <v>32</v>
      </c>
      <c r="M32" s="1" t="s">
        <v>89</v>
      </c>
      <c r="O32" s="1">
        <v>32</v>
      </c>
      <c r="P32" s="1">
        <v>32</v>
      </c>
      <c r="R32" s="1" t="s">
        <v>90</v>
      </c>
      <c r="S32" s="1" t="s">
        <v>89</v>
      </c>
      <c r="Z32" s="1" t="str">
        <f t="shared" si="0"/>
        <v>114tidak ada</v>
      </c>
      <c r="AA32" s="1">
        <v>114</v>
      </c>
      <c r="AB32" s="1" t="s">
        <v>90</v>
      </c>
      <c r="AC32" s="1" t="s">
        <v>92</v>
      </c>
    </row>
    <row r="33" spans="1:29" x14ac:dyDescent="0.2">
      <c r="A33" s="1">
        <v>33</v>
      </c>
      <c r="B33" s="1">
        <v>33</v>
      </c>
      <c r="D33" s="1">
        <v>49</v>
      </c>
      <c r="F33" s="1">
        <v>32.340000000000003</v>
      </c>
      <c r="L33" s="1">
        <v>33</v>
      </c>
      <c r="M33" s="1" t="s">
        <v>89</v>
      </c>
      <c r="O33" s="1">
        <v>33</v>
      </c>
      <c r="P33" s="1">
        <v>33</v>
      </c>
      <c r="R33" s="1" t="s">
        <v>90</v>
      </c>
      <c r="S33" s="1" t="s">
        <v>89</v>
      </c>
      <c r="Z33" s="1" t="str">
        <f t="shared" si="0"/>
        <v>115ada</v>
      </c>
      <c r="AA33" s="1">
        <v>115</v>
      </c>
      <c r="AB33" s="1" t="s">
        <v>91</v>
      </c>
      <c r="AC33" s="1" t="s">
        <v>93</v>
      </c>
    </row>
    <row r="34" spans="1:29" x14ac:dyDescent="0.2">
      <c r="A34" s="1">
        <v>34</v>
      </c>
      <c r="B34" s="1">
        <v>34</v>
      </c>
      <c r="D34" s="1">
        <v>49</v>
      </c>
      <c r="F34" s="1">
        <v>33.32</v>
      </c>
      <c r="L34" s="1">
        <v>34</v>
      </c>
      <c r="M34" s="1" t="s">
        <v>89</v>
      </c>
      <c r="O34" s="1">
        <v>34</v>
      </c>
      <c r="P34" s="1">
        <v>34</v>
      </c>
      <c r="R34" s="1" t="s">
        <v>90</v>
      </c>
      <c r="S34" s="1" t="s">
        <v>89</v>
      </c>
      <c r="Z34" s="1" t="str">
        <f t="shared" si="0"/>
        <v>115tidak ada</v>
      </c>
      <c r="AA34" s="1">
        <v>115</v>
      </c>
      <c r="AB34" s="1" t="s">
        <v>90</v>
      </c>
      <c r="AC34" s="1" t="s">
        <v>92</v>
      </c>
    </row>
    <row r="35" spans="1:29" x14ac:dyDescent="0.2">
      <c r="A35" s="1">
        <v>35</v>
      </c>
      <c r="B35" s="1">
        <v>35</v>
      </c>
      <c r="D35" s="1">
        <v>49</v>
      </c>
      <c r="F35" s="1">
        <v>34.299999999999997</v>
      </c>
      <c r="L35" s="1">
        <v>35</v>
      </c>
      <c r="M35" s="1" t="s">
        <v>89</v>
      </c>
      <c r="O35" s="1">
        <v>35</v>
      </c>
      <c r="P35" s="1">
        <v>35</v>
      </c>
      <c r="R35" s="1" t="s">
        <v>90</v>
      </c>
      <c r="S35" s="1" t="s">
        <v>89</v>
      </c>
      <c r="Z35" s="1" t="str">
        <f t="shared" si="0"/>
        <v>116ada</v>
      </c>
      <c r="AA35" s="1">
        <v>116</v>
      </c>
      <c r="AB35" s="1" t="s">
        <v>91</v>
      </c>
      <c r="AC35" s="1" t="s">
        <v>93</v>
      </c>
    </row>
    <row r="36" spans="1:29" x14ac:dyDescent="0.2">
      <c r="A36" s="1">
        <v>36</v>
      </c>
      <c r="B36" s="1">
        <v>36</v>
      </c>
      <c r="D36" s="1">
        <v>49</v>
      </c>
      <c r="F36" s="1">
        <v>35.28</v>
      </c>
      <c r="L36" s="1">
        <v>36</v>
      </c>
      <c r="M36" s="1" t="s">
        <v>89</v>
      </c>
      <c r="O36" s="1">
        <v>36</v>
      </c>
      <c r="P36" s="1">
        <v>36</v>
      </c>
      <c r="R36" s="1" t="s">
        <v>90</v>
      </c>
      <c r="S36" s="1" t="s">
        <v>89</v>
      </c>
      <c r="Z36" s="1" t="str">
        <f t="shared" si="0"/>
        <v>116tidak ada</v>
      </c>
      <c r="AA36" s="1">
        <v>116</v>
      </c>
      <c r="AB36" s="1" t="s">
        <v>90</v>
      </c>
      <c r="AC36" s="1" t="s">
        <v>92</v>
      </c>
    </row>
    <row r="37" spans="1:29" x14ac:dyDescent="0.2">
      <c r="A37" s="1">
        <v>37</v>
      </c>
      <c r="B37" s="1">
        <v>37</v>
      </c>
      <c r="D37" s="1">
        <v>49</v>
      </c>
      <c r="F37" s="1">
        <v>36.26</v>
      </c>
      <c r="L37" s="1">
        <v>37</v>
      </c>
      <c r="M37" s="1" t="s">
        <v>89</v>
      </c>
      <c r="O37" s="1">
        <v>37</v>
      </c>
      <c r="P37" s="1">
        <v>37</v>
      </c>
      <c r="R37" s="1" t="s">
        <v>90</v>
      </c>
      <c r="S37" s="1" t="s">
        <v>89</v>
      </c>
      <c r="Z37" s="1" t="str">
        <f t="shared" si="0"/>
        <v>117ada</v>
      </c>
      <c r="AA37" s="1">
        <v>117</v>
      </c>
      <c r="AB37" s="1" t="s">
        <v>91</v>
      </c>
      <c r="AC37" s="1" t="s">
        <v>93</v>
      </c>
    </row>
    <row r="38" spans="1:29" x14ac:dyDescent="0.2">
      <c r="A38" s="1">
        <v>38</v>
      </c>
      <c r="B38" s="1">
        <v>38</v>
      </c>
      <c r="D38" s="1">
        <v>49</v>
      </c>
      <c r="F38" s="1">
        <v>37.24</v>
      </c>
      <c r="L38" s="1">
        <v>38</v>
      </c>
      <c r="M38" s="1" t="s">
        <v>89</v>
      </c>
      <c r="O38" s="1">
        <v>38</v>
      </c>
      <c r="P38" s="1">
        <v>38</v>
      </c>
      <c r="R38" s="1" t="s">
        <v>90</v>
      </c>
      <c r="S38" s="1" t="s">
        <v>89</v>
      </c>
      <c r="Z38" s="1" t="str">
        <f t="shared" si="0"/>
        <v>117tidak ada</v>
      </c>
      <c r="AA38" s="1">
        <v>117</v>
      </c>
      <c r="AB38" s="1" t="s">
        <v>90</v>
      </c>
      <c r="AC38" s="1" t="s">
        <v>92</v>
      </c>
    </row>
    <row r="39" spans="1:29" x14ac:dyDescent="0.2">
      <c r="A39" s="1">
        <v>39</v>
      </c>
      <c r="B39" s="1">
        <v>39</v>
      </c>
      <c r="D39" s="1">
        <v>49</v>
      </c>
      <c r="F39" s="1">
        <v>38.22</v>
      </c>
      <c r="L39" s="1">
        <v>39</v>
      </c>
      <c r="M39" s="1" t="s">
        <v>89</v>
      </c>
      <c r="O39" s="1">
        <v>39</v>
      </c>
      <c r="P39" s="1">
        <v>39</v>
      </c>
      <c r="R39" s="1" t="s">
        <v>90</v>
      </c>
      <c r="S39" s="1" t="s">
        <v>89</v>
      </c>
      <c r="Z39" s="1" t="str">
        <f t="shared" si="0"/>
        <v>118ada</v>
      </c>
      <c r="AA39" s="1">
        <v>118</v>
      </c>
      <c r="AB39" s="1" t="s">
        <v>91</v>
      </c>
      <c r="AC39" s="1" t="s">
        <v>93</v>
      </c>
    </row>
    <row r="40" spans="1:29" x14ac:dyDescent="0.2">
      <c r="A40" s="1">
        <v>40</v>
      </c>
      <c r="B40" s="1">
        <v>40</v>
      </c>
      <c r="D40" s="1">
        <v>49</v>
      </c>
      <c r="F40" s="1">
        <v>39.200000000000003</v>
      </c>
      <c r="L40" s="1">
        <v>40</v>
      </c>
      <c r="M40" s="1" t="s">
        <v>89</v>
      </c>
      <c r="O40" s="1">
        <v>40</v>
      </c>
      <c r="P40" s="1">
        <v>40</v>
      </c>
      <c r="R40" s="1" t="s">
        <v>90</v>
      </c>
      <c r="S40" s="1" t="s">
        <v>89</v>
      </c>
      <c r="Z40" s="1" t="str">
        <f t="shared" si="0"/>
        <v>118tidak ada</v>
      </c>
      <c r="AA40" s="1">
        <v>118</v>
      </c>
      <c r="AB40" s="1" t="s">
        <v>90</v>
      </c>
      <c r="AC40" s="1" t="s">
        <v>92</v>
      </c>
    </row>
    <row r="41" spans="1:29" x14ac:dyDescent="0.2">
      <c r="A41" s="1">
        <v>41</v>
      </c>
      <c r="B41" s="1">
        <v>41</v>
      </c>
      <c r="D41" s="1">
        <v>49</v>
      </c>
      <c r="F41" s="1">
        <v>40.18</v>
      </c>
      <c r="L41" s="1">
        <v>41</v>
      </c>
      <c r="M41" s="1" t="s">
        <v>89</v>
      </c>
      <c r="O41" s="1">
        <v>41</v>
      </c>
      <c r="P41" s="1">
        <v>41</v>
      </c>
      <c r="R41" s="1" t="s">
        <v>90</v>
      </c>
      <c r="S41" s="1" t="s">
        <v>89</v>
      </c>
      <c r="Z41" s="1" t="str">
        <f t="shared" si="0"/>
        <v>119ada</v>
      </c>
      <c r="AA41" s="1">
        <v>119</v>
      </c>
      <c r="AB41" s="1" t="s">
        <v>91</v>
      </c>
      <c r="AC41" s="1" t="s">
        <v>93</v>
      </c>
    </row>
    <row r="42" spans="1:29" x14ac:dyDescent="0.2">
      <c r="A42" s="1">
        <v>42</v>
      </c>
      <c r="B42" s="1">
        <v>42</v>
      </c>
      <c r="D42" s="1">
        <v>49</v>
      </c>
      <c r="F42" s="1">
        <v>41.16</v>
      </c>
      <c r="L42" s="1">
        <v>42</v>
      </c>
      <c r="M42" s="1" t="s">
        <v>89</v>
      </c>
      <c r="O42" s="1">
        <v>42</v>
      </c>
      <c r="P42" s="1">
        <v>42</v>
      </c>
      <c r="R42" s="1" t="s">
        <v>90</v>
      </c>
      <c r="S42" s="1" t="s">
        <v>89</v>
      </c>
      <c r="Z42" s="1" t="str">
        <f t="shared" si="0"/>
        <v>119tidak ada</v>
      </c>
      <c r="AA42" s="1">
        <v>119</v>
      </c>
      <c r="AB42" s="1" t="s">
        <v>90</v>
      </c>
      <c r="AC42" s="1" t="s">
        <v>92</v>
      </c>
    </row>
    <row r="43" spans="1:29" x14ac:dyDescent="0.2">
      <c r="A43" s="1">
        <v>43</v>
      </c>
      <c r="B43" s="1">
        <v>43</v>
      </c>
      <c r="D43" s="1">
        <v>49</v>
      </c>
      <c r="F43" s="1">
        <v>42.14</v>
      </c>
      <c r="L43" s="1">
        <v>43</v>
      </c>
      <c r="M43" s="1" t="s">
        <v>89</v>
      </c>
      <c r="O43" s="1">
        <v>43</v>
      </c>
      <c r="P43" s="1">
        <v>43</v>
      </c>
      <c r="R43" s="1" t="s">
        <v>90</v>
      </c>
      <c r="S43" s="1" t="s">
        <v>89</v>
      </c>
      <c r="Z43" s="1" t="str">
        <f t="shared" si="0"/>
        <v>11ada</v>
      </c>
      <c r="AA43" s="1">
        <v>11</v>
      </c>
      <c r="AB43" s="1" t="s">
        <v>91</v>
      </c>
      <c r="AC43" s="1" t="s">
        <v>89</v>
      </c>
    </row>
    <row r="44" spans="1:29" x14ac:dyDescent="0.2">
      <c r="A44" s="1">
        <v>44</v>
      </c>
      <c r="B44" s="1">
        <v>44</v>
      </c>
      <c r="D44" s="1">
        <v>49</v>
      </c>
      <c r="F44" s="1">
        <v>43.12</v>
      </c>
      <c r="L44" s="1">
        <v>44</v>
      </c>
      <c r="M44" s="1" t="s">
        <v>89</v>
      </c>
      <c r="O44" s="1">
        <v>44</v>
      </c>
      <c r="P44" s="1">
        <v>44</v>
      </c>
      <c r="R44" s="1" t="s">
        <v>90</v>
      </c>
      <c r="S44" s="1" t="s">
        <v>89</v>
      </c>
      <c r="Z44" s="1" t="str">
        <f t="shared" si="0"/>
        <v>11tidak ada</v>
      </c>
      <c r="AA44" s="1">
        <v>11</v>
      </c>
      <c r="AB44" s="1" t="s">
        <v>90</v>
      </c>
      <c r="AC44" s="1" t="s">
        <v>89</v>
      </c>
    </row>
    <row r="45" spans="1:29" x14ac:dyDescent="0.2">
      <c r="A45" s="1">
        <v>45</v>
      </c>
      <c r="B45" s="1">
        <v>45</v>
      </c>
      <c r="D45" s="1">
        <v>49</v>
      </c>
      <c r="F45" s="1">
        <v>44.1</v>
      </c>
      <c r="L45" s="1">
        <v>45</v>
      </c>
      <c r="M45" s="1" t="s">
        <v>89</v>
      </c>
      <c r="O45" s="1">
        <v>45</v>
      </c>
      <c r="P45" s="1">
        <v>45</v>
      </c>
      <c r="R45" s="1" t="s">
        <v>90</v>
      </c>
      <c r="S45" s="1" t="s">
        <v>89</v>
      </c>
      <c r="Z45" s="1" t="str">
        <f t="shared" si="0"/>
        <v>120ada</v>
      </c>
      <c r="AA45" s="1">
        <v>120</v>
      </c>
      <c r="AB45" s="1" t="s">
        <v>91</v>
      </c>
      <c r="AC45" s="1" t="s">
        <v>93</v>
      </c>
    </row>
    <row r="46" spans="1:29" x14ac:dyDescent="0.2">
      <c r="A46" s="1">
        <v>46</v>
      </c>
      <c r="B46" s="1">
        <v>46</v>
      </c>
      <c r="D46" s="1">
        <v>49</v>
      </c>
      <c r="F46" s="1">
        <v>45.080000000000005</v>
      </c>
      <c r="L46" s="1">
        <v>46</v>
      </c>
      <c r="M46" s="1" t="s">
        <v>89</v>
      </c>
      <c r="O46" s="1">
        <v>46</v>
      </c>
      <c r="P46" s="1">
        <v>46</v>
      </c>
      <c r="R46" s="1" t="s">
        <v>90</v>
      </c>
      <c r="S46" s="1" t="s">
        <v>89</v>
      </c>
      <c r="Z46" s="1" t="str">
        <f t="shared" si="0"/>
        <v>12ada</v>
      </c>
      <c r="AA46" s="1">
        <v>12</v>
      </c>
      <c r="AB46" s="1" t="s">
        <v>91</v>
      </c>
      <c r="AC46" s="1" t="s">
        <v>89</v>
      </c>
    </row>
    <row r="47" spans="1:29" x14ac:dyDescent="0.2">
      <c r="A47" s="1">
        <v>47</v>
      </c>
      <c r="B47" s="1">
        <v>47</v>
      </c>
      <c r="D47" s="1">
        <v>49</v>
      </c>
      <c r="F47" s="1">
        <v>46.059999999999995</v>
      </c>
      <c r="L47" s="1">
        <v>47</v>
      </c>
      <c r="M47" s="1" t="s">
        <v>89</v>
      </c>
      <c r="O47" s="1">
        <v>47</v>
      </c>
      <c r="P47" s="1">
        <v>47</v>
      </c>
      <c r="R47" s="1" t="s">
        <v>90</v>
      </c>
      <c r="S47" s="1" t="s">
        <v>89</v>
      </c>
      <c r="Z47" s="1" t="str">
        <f t="shared" si="0"/>
        <v>12tidak ada</v>
      </c>
      <c r="AA47" s="1">
        <v>12</v>
      </c>
      <c r="AB47" s="1" t="s">
        <v>90</v>
      </c>
      <c r="AC47" s="1" t="s">
        <v>89</v>
      </c>
    </row>
    <row r="48" spans="1:29" x14ac:dyDescent="0.2">
      <c r="A48" s="1">
        <v>48</v>
      </c>
      <c r="B48" s="1">
        <v>48</v>
      </c>
      <c r="D48" s="1">
        <v>49</v>
      </c>
      <c r="F48" s="1">
        <v>47.04</v>
      </c>
      <c r="L48" s="1">
        <v>48</v>
      </c>
      <c r="M48" s="1" t="s">
        <v>89</v>
      </c>
      <c r="O48" s="1">
        <v>48</v>
      </c>
      <c r="P48" s="1">
        <v>48</v>
      </c>
      <c r="R48" s="1" t="s">
        <v>90</v>
      </c>
      <c r="S48" s="1" t="s">
        <v>89</v>
      </c>
      <c r="Z48" s="1" t="str">
        <f t="shared" si="0"/>
        <v>13ada</v>
      </c>
      <c r="AA48" s="1">
        <v>13</v>
      </c>
      <c r="AB48" s="1" t="s">
        <v>91</v>
      </c>
      <c r="AC48" s="1" t="s">
        <v>89</v>
      </c>
    </row>
    <row r="49" spans="1:29" x14ac:dyDescent="0.2">
      <c r="A49" s="1">
        <v>49</v>
      </c>
      <c r="B49" s="1">
        <v>49</v>
      </c>
      <c r="D49" s="1">
        <v>49</v>
      </c>
      <c r="F49" s="1">
        <v>48.019999999999996</v>
      </c>
      <c r="L49" s="1">
        <v>49</v>
      </c>
      <c r="M49" s="1" t="s">
        <v>89</v>
      </c>
      <c r="O49" s="1">
        <v>49</v>
      </c>
      <c r="P49" s="1">
        <v>49</v>
      </c>
      <c r="R49" s="1" t="s">
        <v>90</v>
      </c>
      <c r="S49" s="1" t="s">
        <v>89</v>
      </c>
      <c r="Z49" s="1" t="str">
        <f t="shared" si="0"/>
        <v>13tidak ada</v>
      </c>
      <c r="AA49" s="1">
        <v>13</v>
      </c>
      <c r="AB49" s="1" t="s">
        <v>90</v>
      </c>
      <c r="AC49" s="1" t="s">
        <v>89</v>
      </c>
    </row>
    <row r="50" spans="1:29" x14ac:dyDescent="0.2">
      <c r="A50" s="1">
        <v>50</v>
      </c>
      <c r="B50" s="1">
        <v>50</v>
      </c>
      <c r="C50" s="1">
        <v>-1</v>
      </c>
      <c r="D50" s="1">
        <v>49</v>
      </c>
      <c r="F50" s="1">
        <v>49</v>
      </c>
      <c r="L50" s="1">
        <v>50</v>
      </c>
      <c r="M50" s="1" t="s">
        <v>94</v>
      </c>
      <c r="O50" s="1">
        <v>50</v>
      </c>
      <c r="P50" s="1">
        <v>50</v>
      </c>
      <c r="R50" s="1" t="s">
        <v>90</v>
      </c>
      <c r="S50" s="1" t="s">
        <v>94</v>
      </c>
      <c r="Z50" s="1" t="str">
        <f t="shared" si="0"/>
        <v>14ada</v>
      </c>
      <c r="AA50" s="1">
        <v>14</v>
      </c>
      <c r="AB50" s="1" t="s">
        <v>91</v>
      </c>
      <c r="AC50" s="1" t="s">
        <v>89</v>
      </c>
    </row>
    <row r="51" spans="1:29" x14ac:dyDescent="0.2">
      <c r="A51" s="1">
        <v>51</v>
      </c>
      <c r="B51" s="1">
        <v>50</v>
      </c>
      <c r="C51" s="1">
        <v>2.1</v>
      </c>
      <c r="D51" s="1">
        <v>51</v>
      </c>
      <c r="F51" s="1">
        <f t="shared" ref="F51:F92" si="1">B51+((C51)*(A51-D51))</f>
        <v>50</v>
      </c>
      <c r="L51" s="1">
        <v>51</v>
      </c>
      <c r="M51" s="1" t="s">
        <v>94</v>
      </c>
      <c r="O51" s="1">
        <v>51</v>
      </c>
      <c r="P51" s="1">
        <v>51</v>
      </c>
      <c r="R51" s="1" t="s">
        <v>90</v>
      </c>
      <c r="S51" s="1" t="s">
        <v>94</v>
      </c>
      <c r="Z51" s="1" t="str">
        <f t="shared" si="0"/>
        <v>14tidak ada</v>
      </c>
      <c r="AA51" s="1">
        <v>14</v>
      </c>
      <c r="AB51" s="1" t="s">
        <v>90</v>
      </c>
      <c r="AC51" s="1" t="s">
        <v>89</v>
      </c>
    </row>
    <row r="52" spans="1:29" x14ac:dyDescent="0.2">
      <c r="A52" s="1">
        <v>52</v>
      </c>
      <c r="B52" s="1">
        <v>50</v>
      </c>
      <c r="C52" s="1">
        <v>2.1</v>
      </c>
      <c r="D52" s="1">
        <v>51</v>
      </c>
      <c r="F52" s="1">
        <f t="shared" si="1"/>
        <v>52.1</v>
      </c>
      <c r="L52" s="1">
        <v>52</v>
      </c>
      <c r="M52" s="1" t="s">
        <v>94</v>
      </c>
      <c r="O52" s="1">
        <v>52</v>
      </c>
      <c r="P52" s="1">
        <v>52</v>
      </c>
      <c r="R52" s="1" t="s">
        <v>90</v>
      </c>
      <c r="S52" s="1" t="s">
        <v>94</v>
      </c>
      <c r="Z52" s="1" t="str">
        <f t="shared" si="0"/>
        <v>15ada</v>
      </c>
      <c r="AA52" s="1">
        <v>15</v>
      </c>
      <c r="AB52" s="1" t="s">
        <v>91</v>
      </c>
      <c r="AC52" s="1" t="s">
        <v>89</v>
      </c>
    </row>
    <row r="53" spans="1:29" x14ac:dyDescent="0.2">
      <c r="A53" s="1">
        <v>53</v>
      </c>
      <c r="B53" s="1">
        <v>50</v>
      </c>
      <c r="C53" s="1">
        <v>2.1</v>
      </c>
      <c r="D53" s="1">
        <v>51</v>
      </c>
      <c r="F53" s="1">
        <f t="shared" si="1"/>
        <v>54.2</v>
      </c>
      <c r="L53" s="1">
        <v>53</v>
      </c>
      <c r="M53" s="1" t="s">
        <v>94</v>
      </c>
      <c r="O53" s="1">
        <v>53</v>
      </c>
      <c r="P53" s="1">
        <v>53</v>
      </c>
      <c r="R53" s="1" t="s">
        <v>90</v>
      </c>
      <c r="S53" s="1" t="s">
        <v>94</v>
      </c>
      <c r="Z53" s="1" t="str">
        <f t="shared" si="0"/>
        <v>15tidak ada</v>
      </c>
      <c r="AA53" s="1">
        <v>15</v>
      </c>
      <c r="AB53" s="1" t="s">
        <v>90</v>
      </c>
      <c r="AC53" s="1" t="s">
        <v>89</v>
      </c>
    </row>
    <row r="54" spans="1:29" x14ac:dyDescent="0.2">
      <c r="A54" s="1">
        <v>54</v>
      </c>
      <c r="B54" s="1">
        <v>50</v>
      </c>
      <c r="C54" s="1">
        <v>2.1</v>
      </c>
      <c r="D54" s="1">
        <v>51</v>
      </c>
      <c r="F54" s="1">
        <f t="shared" si="1"/>
        <v>56.3</v>
      </c>
      <c r="L54" s="1">
        <v>54</v>
      </c>
      <c r="M54" s="1" t="s">
        <v>94</v>
      </c>
      <c r="O54" s="1">
        <v>54</v>
      </c>
      <c r="P54" s="1">
        <v>54</v>
      </c>
      <c r="R54" s="1" t="s">
        <v>90</v>
      </c>
      <c r="S54" s="1" t="s">
        <v>94</v>
      </c>
      <c r="Z54" s="1" t="str">
        <f t="shared" si="0"/>
        <v>16ada</v>
      </c>
      <c r="AA54" s="1">
        <v>16</v>
      </c>
      <c r="AB54" s="1" t="s">
        <v>91</v>
      </c>
      <c r="AC54" s="1" t="s">
        <v>89</v>
      </c>
    </row>
    <row r="55" spans="1:29" x14ac:dyDescent="0.2">
      <c r="A55" s="1">
        <v>55</v>
      </c>
      <c r="B55" s="1">
        <v>50</v>
      </c>
      <c r="C55" s="1">
        <v>2.1</v>
      </c>
      <c r="D55" s="1">
        <v>51</v>
      </c>
      <c r="F55" s="1">
        <f t="shared" si="1"/>
        <v>58.4</v>
      </c>
      <c r="L55" s="1">
        <v>55</v>
      </c>
      <c r="M55" s="1" t="s">
        <v>94</v>
      </c>
      <c r="O55" s="1">
        <v>55</v>
      </c>
      <c r="P55" s="1">
        <v>55</v>
      </c>
      <c r="R55" s="1" t="s">
        <v>90</v>
      </c>
      <c r="S55" s="1" t="s">
        <v>94</v>
      </c>
      <c r="Z55" s="1" t="str">
        <f t="shared" si="0"/>
        <v>16tidak ada</v>
      </c>
      <c r="AA55" s="1">
        <v>16</v>
      </c>
      <c r="AB55" s="1" t="s">
        <v>90</v>
      </c>
      <c r="AC55" s="1" t="s">
        <v>89</v>
      </c>
    </row>
    <row r="56" spans="1:29" x14ac:dyDescent="0.2">
      <c r="A56" s="1">
        <v>56</v>
      </c>
      <c r="B56" s="1">
        <v>50</v>
      </c>
      <c r="C56" s="1">
        <v>2.1</v>
      </c>
      <c r="D56" s="1">
        <v>51</v>
      </c>
      <c r="F56" s="1">
        <f t="shared" si="1"/>
        <v>60.5</v>
      </c>
      <c r="L56" s="1">
        <v>56</v>
      </c>
      <c r="M56" s="1" t="s">
        <v>94</v>
      </c>
      <c r="O56" s="1">
        <v>56</v>
      </c>
      <c r="P56" s="1">
        <v>56</v>
      </c>
      <c r="R56" s="1" t="s">
        <v>90</v>
      </c>
      <c r="S56" s="1" t="s">
        <v>94</v>
      </c>
      <c r="Z56" s="1" t="str">
        <f t="shared" si="0"/>
        <v>17ada</v>
      </c>
      <c r="AA56" s="1">
        <v>17</v>
      </c>
      <c r="AB56" s="1" t="s">
        <v>91</v>
      </c>
      <c r="AC56" s="1" t="s">
        <v>89</v>
      </c>
    </row>
    <row r="57" spans="1:29" x14ac:dyDescent="0.2">
      <c r="A57" s="1">
        <v>57</v>
      </c>
      <c r="B57" s="1">
        <v>50</v>
      </c>
      <c r="C57" s="1">
        <v>2.1</v>
      </c>
      <c r="D57" s="1">
        <v>51</v>
      </c>
      <c r="F57" s="1">
        <f t="shared" si="1"/>
        <v>62.6</v>
      </c>
      <c r="L57" s="1">
        <v>57</v>
      </c>
      <c r="M57" s="1" t="s">
        <v>94</v>
      </c>
      <c r="O57" s="1">
        <v>57</v>
      </c>
      <c r="P57" s="1">
        <v>57</v>
      </c>
      <c r="R57" s="1" t="s">
        <v>90</v>
      </c>
      <c r="S57" s="1" t="s">
        <v>94</v>
      </c>
      <c r="Z57" s="1" t="str">
        <f t="shared" si="0"/>
        <v>17tidak ada</v>
      </c>
      <c r="AA57" s="1">
        <v>17</v>
      </c>
      <c r="AB57" s="1" t="s">
        <v>90</v>
      </c>
      <c r="AC57" s="1" t="s">
        <v>89</v>
      </c>
    </row>
    <row r="58" spans="1:29" x14ac:dyDescent="0.2">
      <c r="A58" s="1">
        <v>58</v>
      </c>
      <c r="B58" s="1">
        <v>50</v>
      </c>
      <c r="C58" s="1">
        <v>2.1</v>
      </c>
      <c r="D58" s="1">
        <v>51</v>
      </c>
      <c r="F58" s="1">
        <f t="shared" si="1"/>
        <v>64.7</v>
      </c>
      <c r="L58" s="1">
        <v>58</v>
      </c>
      <c r="M58" s="1" t="s">
        <v>94</v>
      </c>
      <c r="O58" s="1">
        <v>58</v>
      </c>
      <c r="P58" s="1">
        <v>58</v>
      </c>
      <c r="R58" s="1" t="s">
        <v>90</v>
      </c>
      <c r="S58" s="1" t="s">
        <v>94</v>
      </c>
      <c r="Z58" s="1" t="str">
        <f t="shared" si="0"/>
        <v>18ada</v>
      </c>
      <c r="AA58" s="1">
        <v>18</v>
      </c>
      <c r="AB58" s="1" t="s">
        <v>91</v>
      </c>
      <c r="AC58" s="1" t="s">
        <v>89</v>
      </c>
    </row>
    <row r="59" spans="1:29" x14ac:dyDescent="0.2">
      <c r="A59" s="1">
        <v>59</v>
      </c>
      <c r="B59" s="1">
        <v>50</v>
      </c>
      <c r="C59" s="1">
        <v>2.1</v>
      </c>
      <c r="D59" s="1">
        <v>51</v>
      </c>
      <c r="F59" s="1">
        <f t="shared" si="1"/>
        <v>66.8</v>
      </c>
      <c r="L59" s="1">
        <v>59</v>
      </c>
      <c r="M59" s="1" t="s">
        <v>94</v>
      </c>
      <c r="O59" s="1">
        <v>59</v>
      </c>
      <c r="P59" s="1">
        <v>59</v>
      </c>
      <c r="R59" s="1" t="s">
        <v>90</v>
      </c>
      <c r="S59" s="1" t="s">
        <v>94</v>
      </c>
      <c r="Z59" s="1" t="str">
        <f t="shared" si="0"/>
        <v>18tidak ada</v>
      </c>
      <c r="AA59" s="1">
        <v>18</v>
      </c>
      <c r="AB59" s="1" t="s">
        <v>90</v>
      </c>
      <c r="AC59" s="1" t="s">
        <v>89</v>
      </c>
    </row>
    <row r="60" spans="1:29" x14ac:dyDescent="0.2">
      <c r="A60" s="1">
        <v>60</v>
      </c>
      <c r="B60" s="1">
        <v>50</v>
      </c>
      <c r="C60" s="1">
        <v>2.1</v>
      </c>
      <c r="D60" s="1">
        <v>51</v>
      </c>
      <c r="F60" s="1">
        <f t="shared" si="1"/>
        <v>68.900000000000006</v>
      </c>
      <c r="L60" s="1">
        <v>60</v>
      </c>
      <c r="M60" s="1" t="s">
        <v>94</v>
      </c>
      <c r="O60" s="1">
        <v>60</v>
      </c>
      <c r="P60" s="1">
        <v>60</v>
      </c>
      <c r="R60" s="1" t="s">
        <v>90</v>
      </c>
      <c r="S60" s="1" t="s">
        <v>94</v>
      </c>
      <c r="Z60" s="1" t="str">
        <f t="shared" si="0"/>
        <v>19ada</v>
      </c>
      <c r="AA60" s="1">
        <v>19</v>
      </c>
      <c r="AB60" s="1" t="s">
        <v>91</v>
      </c>
      <c r="AC60" s="1" t="s">
        <v>89</v>
      </c>
    </row>
    <row r="61" spans="1:29" x14ac:dyDescent="0.2">
      <c r="A61" s="1">
        <v>61</v>
      </c>
      <c r="B61" s="1">
        <v>70</v>
      </c>
      <c r="C61" s="1">
        <v>1.36</v>
      </c>
      <c r="D61" s="1">
        <v>61</v>
      </c>
      <c r="F61" s="1">
        <f t="shared" si="1"/>
        <v>70</v>
      </c>
      <c r="L61" s="1">
        <v>61</v>
      </c>
      <c r="M61" s="1" t="s">
        <v>94</v>
      </c>
      <c r="O61" s="1">
        <v>61</v>
      </c>
      <c r="P61" s="1">
        <v>61</v>
      </c>
      <c r="R61" s="1" t="s">
        <v>90</v>
      </c>
      <c r="S61" s="1" t="s">
        <v>94</v>
      </c>
      <c r="Z61" s="1" t="str">
        <f t="shared" si="0"/>
        <v>19tidak ada</v>
      </c>
      <c r="AA61" s="1">
        <v>19</v>
      </c>
      <c r="AB61" s="1" t="s">
        <v>90</v>
      </c>
      <c r="AC61" s="1" t="s">
        <v>89</v>
      </c>
    </row>
    <row r="62" spans="1:29" x14ac:dyDescent="0.2">
      <c r="A62" s="1">
        <v>62</v>
      </c>
      <c r="B62" s="1">
        <v>70</v>
      </c>
      <c r="C62" s="1">
        <v>1.36</v>
      </c>
      <c r="D62" s="1">
        <v>61</v>
      </c>
      <c r="F62" s="1">
        <f t="shared" si="1"/>
        <v>71.36</v>
      </c>
      <c r="L62" s="1">
        <v>62</v>
      </c>
      <c r="M62" s="1" t="s">
        <v>94</v>
      </c>
      <c r="O62" s="1">
        <v>62</v>
      </c>
      <c r="P62" s="1">
        <v>62</v>
      </c>
      <c r="R62" s="1" t="s">
        <v>90</v>
      </c>
      <c r="S62" s="1" t="s">
        <v>94</v>
      </c>
      <c r="Z62" s="1" t="str">
        <f t="shared" si="0"/>
        <v>1ada</v>
      </c>
      <c r="AA62" s="1">
        <v>1</v>
      </c>
      <c r="AB62" s="1" t="s">
        <v>91</v>
      </c>
      <c r="AC62" s="1" t="s">
        <v>89</v>
      </c>
    </row>
    <row r="63" spans="1:29" x14ac:dyDescent="0.2">
      <c r="A63" s="1">
        <v>63</v>
      </c>
      <c r="B63" s="1">
        <v>70</v>
      </c>
      <c r="C63" s="1">
        <v>1.36</v>
      </c>
      <c r="D63" s="1">
        <v>61</v>
      </c>
      <c r="F63" s="1">
        <f t="shared" si="1"/>
        <v>72.72</v>
      </c>
      <c r="L63" s="1">
        <v>63</v>
      </c>
      <c r="M63" s="1" t="s">
        <v>94</v>
      </c>
      <c r="O63" s="1">
        <v>63</v>
      </c>
      <c r="P63" s="1">
        <v>63</v>
      </c>
      <c r="R63" s="1" t="s">
        <v>90</v>
      </c>
      <c r="S63" s="1" t="s">
        <v>94</v>
      </c>
      <c r="Z63" s="1" t="str">
        <f t="shared" si="0"/>
        <v>1tidak ada</v>
      </c>
      <c r="AA63" s="1">
        <v>1</v>
      </c>
      <c r="AB63" s="1" t="s">
        <v>90</v>
      </c>
      <c r="AC63" s="1" t="s">
        <v>89</v>
      </c>
    </row>
    <row r="64" spans="1:29" x14ac:dyDescent="0.2">
      <c r="A64" s="1">
        <v>64</v>
      </c>
      <c r="B64" s="1">
        <v>70</v>
      </c>
      <c r="C64" s="1">
        <v>1.36</v>
      </c>
      <c r="D64" s="1">
        <v>61</v>
      </c>
      <c r="F64" s="1">
        <f t="shared" si="1"/>
        <v>74.08</v>
      </c>
      <c r="L64" s="1">
        <v>64</v>
      </c>
      <c r="M64" s="1" t="s">
        <v>94</v>
      </c>
      <c r="O64" s="1">
        <v>64</v>
      </c>
      <c r="P64" s="1">
        <v>64</v>
      </c>
      <c r="R64" s="1" t="s">
        <v>90</v>
      </c>
      <c r="S64" s="1" t="s">
        <v>94</v>
      </c>
      <c r="Z64" s="1" t="str">
        <f t="shared" si="0"/>
        <v>20ada</v>
      </c>
      <c r="AA64" s="1">
        <v>20</v>
      </c>
      <c r="AB64" s="1" t="s">
        <v>91</v>
      </c>
      <c r="AC64" s="1" t="s">
        <v>89</v>
      </c>
    </row>
    <row r="65" spans="1:29" x14ac:dyDescent="0.2">
      <c r="A65" s="1">
        <v>65</v>
      </c>
      <c r="B65" s="1">
        <v>70</v>
      </c>
      <c r="C65" s="1">
        <v>1.36</v>
      </c>
      <c r="D65" s="1">
        <v>61</v>
      </c>
      <c r="F65" s="1">
        <f t="shared" si="1"/>
        <v>75.44</v>
      </c>
      <c r="L65" s="1">
        <v>65</v>
      </c>
      <c r="M65" s="1" t="s">
        <v>94</v>
      </c>
      <c r="O65" s="1">
        <v>65</v>
      </c>
      <c r="P65" s="1">
        <v>65</v>
      </c>
      <c r="R65" s="1" t="s">
        <v>90</v>
      </c>
      <c r="S65" s="1" t="s">
        <v>94</v>
      </c>
      <c r="Z65" s="1" t="str">
        <f t="shared" ref="Z65:Z128" si="2">AA65&amp;AB65</f>
        <v>20tidak ada</v>
      </c>
      <c r="AA65" s="1">
        <v>20</v>
      </c>
      <c r="AB65" s="1" t="s">
        <v>90</v>
      </c>
      <c r="AC65" s="1" t="s">
        <v>89</v>
      </c>
    </row>
    <row r="66" spans="1:29" x14ac:dyDescent="0.2">
      <c r="A66" s="1">
        <v>66</v>
      </c>
      <c r="B66" s="1">
        <v>70</v>
      </c>
      <c r="C66" s="1">
        <v>1.36</v>
      </c>
      <c r="D66" s="1">
        <v>61</v>
      </c>
      <c r="F66" s="1">
        <f t="shared" si="1"/>
        <v>76.8</v>
      </c>
      <c r="L66" s="1">
        <v>66</v>
      </c>
      <c r="M66" s="1" t="s">
        <v>94</v>
      </c>
      <c r="O66" s="1">
        <v>66</v>
      </c>
      <c r="P66" s="1">
        <v>66</v>
      </c>
      <c r="R66" s="1" t="s">
        <v>90</v>
      </c>
      <c r="S66" s="1" t="s">
        <v>94</v>
      </c>
      <c r="Z66" s="1" t="str">
        <f t="shared" si="2"/>
        <v>21ada</v>
      </c>
      <c r="AA66" s="1">
        <v>21</v>
      </c>
      <c r="AB66" s="1" t="s">
        <v>91</v>
      </c>
      <c r="AC66" s="1" t="s">
        <v>89</v>
      </c>
    </row>
    <row r="67" spans="1:29" x14ac:dyDescent="0.2">
      <c r="A67" s="1">
        <v>67</v>
      </c>
      <c r="B67" s="1">
        <v>70</v>
      </c>
      <c r="C67" s="1">
        <v>1.36</v>
      </c>
      <c r="D67" s="1">
        <v>61</v>
      </c>
      <c r="F67" s="1">
        <f t="shared" si="1"/>
        <v>78.16</v>
      </c>
      <c r="L67" s="1">
        <v>67</v>
      </c>
      <c r="M67" s="1" t="s">
        <v>94</v>
      </c>
      <c r="O67" s="1">
        <v>67</v>
      </c>
      <c r="P67" s="1">
        <v>67</v>
      </c>
      <c r="R67" s="1" t="s">
        <v>90</v>
      </c>
      <c r="S67" s="1" t="s">
        <v>94</v>
      </c>
      <c r="Z67" s="1" t="str">
        <f t="shared" si="2"/>
        <v>21tidak ada</v>
      </c>
      <c r="AA67" s="1">
        <v>21</v>
      </c>
      <c r="AB67" s="1" t="s">
        <v>90</v>
      </c>
      <c r="AC67" s="1" t="s">
        <v>89</v>
      </c>
    </row>
    <row r="68" spans="1:29" x14ac:dyDescent="0.2">
      <c r="A68" s="1">
        <v>68</v>
      </c>
      <c r="B68" s="1">
        <v>70</v>
      </c>
      <c r="C68" s="1">
        <v>1.36</v>
      </c>
      <c r="D68" s="1">
        <v>61</v>
      </c>
      <c r="F68" s="1">
        <f t="shared" si="1"/>
        <v>79.52</v>
      </c>
      <c r="L68" s="1">
        <v>68</v>
      </c>
      <c r="M68" s="1" t="s">
        <v>94</v>
      </c>
      <c r="O68" s="1">
        <v>68</v>
      </c>
      <c r="P68" s="1">
        <v>68</v>
      </c>
      <c r="R68" s="1" t="s">
        <v>90</v>
      </c>
      <c r="S68" s="1" t="s">
        <v>94</v>
      </c>
      <c r="Z68" s="1" t="str">
        <f t="shared" si="2"/>
        <v>22ada</v>
      </c>
      <c r="AA68" s="1">
        <v>22</v>
      </c>
      <c r="AB68" s="1" t="s">
        <v>91</v>
      </c>
      <c r="AC68" s="1" t="s">
        <v>89</v>
      </c>
    </row>
    <row r="69" spans="1:29" x14ac:dyDescent="0.2">
      <c r="A69" s="1">
        <v>69</v>
      </c>
      <c r="B69" s="1">
        <v>70</v>
      </c>
      <c r="C69" s="1">
        <v>1.36</v>
      </c>
      <c r="D69" s="1">
        <v>61</v>
      </c>
      <c r="F69" s="1">
        <f t="shared" si="1"/>
        <v>80.88</v>
      </c>
      <c r="L69" s="1">
        <v>69</v>
      </c>
      <c r="M69" s="1" t="s">
        <v>94</v>
      </c>
      <c r="O69" s="1">
        <v>69</v>
      </c>
      <c r="P69" s="1">
        <v>69</v>
      </c>
      <c r="R69" s="1" t="s">
        <v>90</v>
      </c>
      <c r="S69" s="1" t="s">
        <v>94</v>
      </c>
      <c r="Z69" s="1" t="str">
        <f t="shared" si="2"/>
        <v>22tidak ada</v>
      </c>
      <c r="AA69" s="1">
        <v>22</v>
      </c>
      <c r="AB69" s="1" t="s">
        <v>90</v>
      </c>
      <c r="AC69" s="1" t="s">
        <v>89</v>
      </c>
    </row>
    <row r="70" spans="1:29" x14ac:dyDescent="0.2">
      <c r="A70" s="1">
        <v>70</v>
      </c>
      <c r="B70" s="1">
        <v>70</v>
      </c>
      <c r="C70" s="1">
        <v>1.36</v>
      </c>
      <c r="D70" s="1">
        <v>61</v>
      </c>
      <c r="F70" s="1">
        <f t="shared" si="1"/>
        <v>82.24</v>
      </c>
      <c r="L70" s="1">
        <v>70</v>
      </c>
      <c r="M70" s="1" t="s">
        <v>95</v>
      </c>
      <c r="O70" s="1">
        <v>70</v>
      </c>
      <c r="P70" s="1">
        <v>70</v>
      </c>
      <c r="R70" s="1" t="s">
        <v>90</v>
      </c>
      <c r="S70" s="1" t="s">
        <v>95</v>
      </c>
      <c r="Z70" s="1" t="str">
        <f t="shared" si="2"/>
        <v>23ada</v>
      </c>
      <c r="AA70" s="1">
        <v>23</v>
      </c>
      <c r="AB70" s="1" t="s">
        <v>91</v>
      </c>
      <c r="AC70" s="1" t="s">
        <v>89</v>
      </c>
    </row>
    <row r="71" spans="1:29" x14ac:dyDescent="0.2">
      <c r="A71" s="1">
        <v>71</v>
      </c>
      <c r="B71" s="1">
        <v>70</v>
      </c>
      <c r="C71" s="1">
        <v>1.36</v>
      </c>
      <c r="D71" s="1">
        <v>61</v>
      </c>
      <c r="F71" s="1">
        <f t="shared" si="1"/>
        <v>83.6</v>
      </c>
      <c r="L71" s="1">
        <v>71</v>
      </c>
      <c r="M71" s="1" t="s">
        <v>95</v>
      </c>
      <c r="O71" s="1">
        <v>71</v>
      </c>
      <c r="P71" s="1">
        <v>71</v>
      </c>
      <c r="R71" s="1" t="s">
        <v>90</v>
      </c>
      <c r="S71" s="1" t="s">
        <v>95</v>
      </c>
      <c r="Z71" s="1" t="str">
        <f t="shared" si="2"/>
        <v>23tidak ada</v>
      </c>
      <c r="AA71" s="1">
        <v>23</v>
      </c>
      <c r="AB71" s="1" t="s">
        <v>90</v>
      </c>
      <c r="AC71" s="1" t="s">
        <v>89</v>
      </c>
    </row>
    <row r="72" spans="1:29" x14ac:dyDescent="0.2">
      <c r="A72" s="1">
        <v>72</v>
      </c>
      <c r="B72" s="1">
        <v>70</v>
      </c>
      <c r="C72" s="1">
        <v>1.36</v>
      </c>
      <c r="D72" s="1">
        <v>61</v>
      </c>
      <c r="F72" s="1">
        <f t="shared" si="1"/>
        <v>84.960000000000008</v>
      </c>
      <c r="L72" s="1">
        <v>72</v>
      </c>
      <c r="M72" s="1" t="s">
        <v>95</v>
      </c>
      <c r="O72" s="1">
        <v>72</v>
      </c>
      <c r="P72" s="1">
        <v>72</v>
      </c>
      <c r="R72" s="1" t="s">
        <v>90</v>
      </c>
      <c r="S72" s="1" t="s">
        <v>95</v>
      </c>
      <c r="Z72" s="1" t="str">
        <f t="shared" si="2"/>
        <v>24ada</v>
      </c>
      <c r="AA72" s="1">
        <v>24</v>
      </c>
      <c r="AB72" s="1" t="s">
        <v>91</v>
      </c>
      <c r="AC72" s="1" t="s">
        <v>89</v>
      </c>
    </row>
    <row r="73" spans="1:29" x14ac:dyDescent="0.2">
      <c r="A73" s="1">
        <v>73</v>
      </c>
      <c r="B73" s="1">
        <v>70</v>
      </c>
      <c r="C73" s="1">
        <v>1.36</v>
      </c>
      <c r="D73" s="1">
        <v>61</v>
      </c>
      <c r="F73" s="1">
        <f t="shared" si="1"/>
        <v>86.32</v>
      </c>
      <c r="L73" s="1">
        <v>73</v>
      </c>
      <c r="M73" s="1" t="s">
        <v>95</v>
      </c>
      <c r="O73" s="1">
        <v>73</v>
      </c>
      <c r="P73" s="1">
        <v>73</v>
      </c>
      <c r="R73" s="1" t="s">
        <v>90</v>
      </c>
      <c r="S73" s="1" t="s">
        <v>95</v>
      </c>
      <c r="Z73" s="1" t="str">
        <f t="shared" si="2"/>
        <v>24tidak ada</v>
      </c>
      <c r="AA73" s="1">
        <v>24</v>
      </c>
      <c r="AB73" s="1" t="s">
        <v>90</v>
      </c>
      <c r="AC73" s="1" t="s">
        <v>89</v>
      </c>
    </row>
    <row r="74" spans="1:29" x14ac:dyDescent="0.2">
      <c r="A74" s="1">
        <v>74</v>
      </c>
      <c r="B74" s="1">
        <v>70</v>
      </c>
      <c r="C74" s="1">
        <v>1.36</v>
      </c>
      <c r="D74" s="1">
        <v>61</v>
      </c>
      <c r="F74" s="1">
        <f t="shared" si="1"/>
        <v>87.68</v>
      </c>
      <c r="L74" s="1">
        <v>74</v>
      </c>
      <c r="M74" s="1" t="s">
        <v>95</v>
      </c>
      <c r="O74" s="1">
        <v>74</v>
      </c>
      <c r="P74" s="1">
        <v>74</v>
      </c>
      <c r="R74" s="1" t="s">
        <v>90</v>
      </c>
      <c r="S74" s="1" t="s">
        <v>95</v>
      </c>
      <c r="Z74" s="1" t="str">
        <f t="shared" si="2"/>
        <v>25ada</v>
      </c>
      <c r="AA74" s="1">
        <v>25</v>
      </c>
      <c r="AB74" s="1" t="s">
        <v>91</v>
      </c>
      <c r="AC74" s="1" t="s">
        <v>89</v>
      </c>
    </row>
    <row r="75" spans="1:29" x14ac:dyDescent="0.2">
      <c r="A75" s="1">
        <v>75</v>
      </c>
      <c r="B75" s="1">
        <v>70</v>
      </c>
      <c r="C75" s="1">
        <v>1.36</v>
      </c>
      <c r="D75" s="1">
        <v>61</v>
      </c>
      <c r="F75" s="1">
        <f t="shared" si="1"/>
        <v>89.04</v>
      </c>
      <c r="L75" s="1">
        <v>75</v>
      </c>
      <c r="M75" s="1" t="s">
        <v>95</v>
      </c>
      <c r="O75" s="1">
        <v>75</v>
      </c>
      <c r="P75" s="1">
        <v>75</v>
      </c>
      <c r="R75" s="1" t="s">
        <v>90</v>
      </c>
      <c r="S75" s="1" t="s">
        <v>95</v>
      </c>
      <c r="Z75" s="1" t="str">
        <f t="shared" si="2"/>
        <v>25tidak ada</v>
      </c>
      <c r="AA75" s="1">
        <v>25</v>
      </c>
      <c r="AB75" s="1" t="s">
        <v>90</v>
      </c>
      <c r="AC75" s="1" t="s">
        <v>89</v>
      </c>
    </row>
    <row r="76" spans="1:29" x14ac:dyDescent="0.2">
      <c r="A76" s="1">
        <v>76</v>
      </c>
      <c r="B76" s="1">
        <v>90</v>
      </c>
      <c r="C76" s="1">
        <v>1.36</v>
      </c>
      <c r="D76" s="1">
        <v>76</v>
      </c>
      <c r="F76" s="1">
        <f t="shared" si="1"/>
        <v>90</v>
      </c>
      <c r="L76" s="1">
        <v>76</v>
      </c>
      <c r="M76" s="1" t="s">
        <v>95</v>
      </c>
      <c r="O76" s="1">
        <v>76</v>
      </c>
      <c r="P76" s="1">
        <v>76</v>
      </c>
      <c r="R76" s="1" t="s">
        <v>90</v>
      </c>
      <c r="S76" s="1" t="s">
        <v>95</v>
      </c>
      <c r="Z76" s="1" t="str">
        <f t="shared" si="2"/>
        <v>26ada</v>
      </c>
      <c r="AA76" s="1">
        <v>26</v>
      </c>
      <c r="AB76" s="1" t="s">
        <v>91</v>
      </c>
      <c r="AC76" s="1" t="s">
        <v>89</v>
      </c>
    </row>
    <row r="77" spans="1:29" x14ac:dyDescent="0.2">
      <c r="A77" s="1">
        <v>77</v>
      </c>
      <c r="B77" s="1">
        <v>90</v>
      </c>
      <c r="C77" s="1">
        <v>1.36</v>
      </c>
      <c r="D77" s="1">
        <v>76</v>
      </c>
      <c r="F77" s="1">
        <f t="shared" si="1"/>
        <v>91.36</v>
      </c>
      <c r="L77" s="1">
        <v>77</v>
      </c>
      <c r="M77" s="1" t="s">
        <v>95</v>
      </c>
      <c r="O77" s="1">
        <v>77</v>
      </c>
      <c r="P77" s="1">
        <v>77</v>
      </c>
      <c r="R77" s="1" t="s">
        <v>90</v>
      </c>
      <c r="S77" s="1" t="s">
        <v>95</v>
      </c>
      <c r="Z77" s="1" t="str">
        <f t="shared" si="2"/>
        <v>26tidak ada</v>
      </c>
      <c r="AA77" s="1">
        <v>26</v>
      </c>
      <c r="AB77" s="1" t="s">
        <v>90</v>
      </c>
      <c r="AC77" s="1" t="s">
        <v>89</v>
      </c>
    </row>
    <row r="78" spans="1:29" x14ac:dyDescent="0.2">
      <c r="A78" s="1">
        <v>78</v>
      </c>
      <c r="B78" s="1">
        <v>90</v>
      </c>
      <c r="C78" s="1">
        <v>1.36</v>
      </c>
      <c r="D78" s="1">
        <v>76</v>
      </c>
      <c r="F78" s="1">
        <f t="shared" si="1"/>
        <v>92.72</v>
      </c>
      <c r="L78" s="1">
        <v>78</v>
      </c>
      <c r="M78" s="1" t="s">
        <v>95</v>
      </c>
      <c r="O78" s="1">
        <v>78</v>
      </c>
      <c r="P78" s="1">
        <v>78</v>
      </c>
      <c r="R78" s="1" t="s">
        <v>90</v>
      </c>
      <c r="S78" s="1" t="s">
        <v>95</v>
      </c>
      <c r="Z78" s="1" t="str">
        <f t="shared" si="2"/>
        <v>27ada</v>
      </c>
      <c r="AA78" s="1">
        <v>27</v>
      </c>
      <c r="AB78" s="1" t="s">
        <v>91</v>
      </c>
      <c r="AC78" s="1" t="s">
        <v>89</v>
      </c>
    </row>
    <row r="79" spans="1:29" x14ac:dyDescent="0.2">
      <c r="A79" s="1">
        <v>79</v>
      </c>
      <c r="B79" s="1">
        <v>90</v>
      </c>
      <c r="C79" s="1">
        <v>1.36</v>
      </c>
      <c r="D79" s="1">
        <v>76</v>
      </c>
      <c r="F79" s="1">
        <f t="shared" si="1"/>
        <v>94.08</v>
      </c>
      <c r="L79" s="1">
        <v>79</v>
      </c>
      <c r="M79" s="1" t="s">
        <v>95</v>
      </c>
      <c r="O79" s="1">
        <v>79</v>
      </c>
      <c r="P79" s="1">
        <v>79</v>
      </c>
      <c r="R79" s="1" t="s">
        <v>90</v>
      </c>
      <c r="S79" s="1" t="s">
        <v>95</v>
      </c>
      <c r="Z79" s="1" t="str">
        <f t="shared" si="2"/>
        <v>27tidak ada</v>
      </c>
      <c r="AA79" s="1">
        <v>27</v>
      </c>
      <c r="AB79" s="1" t="s">
        <v>90</v>
      </c>
      <c r="AC79" s="1" t="s">
        <v>89</v>
      </c>
    </row>
    <row r="80" spans="1:29" x14ac:dyDescent="0.2">
      <c r="A80" s="1">
        <v>80</v>
      </c>
      <c r="B80" s="1">
        <v>90</v>
      </c>
      <c r="C80" s="1">
        <v>1.36</v>
      </c>
      <c r="D80" s="1">
        <v>76</v>
      </c>
      <c r="F80" s="1">
        <f t="shared" si="1"/>
        <v>95.44</v>
      </c>
      <c r="L80" s="1">
        <v>80</v>
      </c>
      <c r="M80" s="1" t="s">
        <v>95</v>
      </c>
      <c r="O80" s="1">
        <v>80</v>
      </c>
      <c r="P80" s="1">
        <v>80</v>
      </c>
      <c r="R80" s="1" t="s">
        <v>90</v>
      </c>
      <c r="S80" s="1" t="s">
        <v>95</v>
      </c>
      <c r="Z80" s="1" t="str">
        <f t="shared" si="2"/>
        <v>28ada</v>
      </c>
      <c r="AA80" s="1">
        <v>28</v>
      </c>
      <c r="AB80" s="1" t="s">
        <v>91</v>
      </c>
      <c r="AC80" s="1" t="s">
        <v>89</v>
      </c>
    </row>
    <row r="81" spans="1:29" x14ac:dyDescent="0.2">
      <c r="A81" s="1">
        <v>81</v>
      </c>
      <c r="B81" s="1">
        <v>90</v>
      </c>
      <c r="C81" s="1">
        <v>1.36</v>
      </c>
      <c r="D81" s="1">
        <v>76</v>
      </c>
      <c r="F81" s="1">
        <f t="shared" si="1"/>
        <v>96.8</v>
      </c>
      <c r="L81" s="1">
        <v>81</v>
      </c>
      <c r="M81" s="1" t="s">
        <v>95</v>
      </c>
      <c r="O81" s="1">
        <v>81</v>
      </c>
      <c r="P81" s="1">
        <v>81</v>
      </c>
      <c r="R81" s="1" t="s">
        <v>90</v>
      </c>
      <c r="S81" s="1" t="s">
        <v>95</v>
      </c>
      <c r="Z81" s="1" t="str">
        <f t="shared" si="2"/>
        <v>28tidak ada</v>
      </c>
      <c r="AA81" s="1">
        <v>28</v>
      </c>
      <c r="AB81" s="1" t="s">
        <v>90</v>
      </c>
      <c r="AC81" s="1" t="s">
        <v>89</v>
      </c>
    </row>
    <row r="82" spans="1:29" x14ac:dyDescent="0.2">
      <c r="A82" s="1">
        <v>82</v>
      </c>
      <c r="B82" s="1">
        <v>90</v>
      </c>
      <c r="C82" s="1">
        <v>1.36</v>
      </c>
      <c r="D82" s="1">
        <v>76</v>
      </c>
      <c r="F82" s="1">
        <f t="shared" si="1"/>
        <v>98.16</v>
      </c>
      <c r="L82" s="1">
        <v>82</v>
      </c>
      <c r="M82" s="1" t="s">
        <v>95</v>
      </c>
      <c r="O82" s="1">
        <v>82</v>
      </c>
      <c r="P82" s="1">
        <v>82</v>
      </c>
      <c r="R82" s="1" t="s">
        <v>90</v>
      </c>
      <c r="S82" s="1" t="s">
        <v>95</v>
      </c>
      <c r="Z82" s="1" t="str">
        <f t="shared" si="2"/>
        <v>29ada</v>
      </c>
      <c r="AA82" s="1">
        <v>29</v>
      </c>
      <c r="AB82" s="1" t="s">
        <v>91</v>
      </c>
      <c r="AC82" s="1" t="s">
        <v>89</v>
      </c>
    </row>
    <row r="83" spans="1:29" x14ac:dyDescent="0.2">
      <c r="A83" s="1">
        <v>83</v>
      </c>
      <c r="B83" s="1">
        <v>90</v>
      </c>
      <c r="C83" s="1">
        <v>1.36</v>
      </c>
      <c r="D83" s="1">
        <v>76</v>
      </c>
      <c r="F83" s="1">
        <f t="shared" si="1"/>
        <v>99.52</v>
      </c>
      <c r="L83" s="1">
        <v>83</v>
      </c>
      <c r="M83" s="1" t="s">
        <v>95</v>
      </c>
      <c r="O83" s="1">
        <v>83</v>
      </c>
      <c r="P83" s="1">
        <v>83</v>
      </c>
      <c r="R83" s="1" t="s">
        <v>90</v>
      </c>
      <c r="S83" s="1" t="s">
        <v>95</v>
      </c>
      <c r="Z83" s="1" t="str">
        <f t="shared" si="2"/>
        <v>29tidak ada</v>
      </c>
      <c r="AA83" s="1">
        <v>29</v>
      </c>
      <c r="AB83" s="1" t="s">
        <v>90</v>
      </c>
      <c r="AC83" s="1" t="s">
        <v>89</v>
      </c>
    </row>
    <row r="84" spans="1:29" x14ac:dyDescent="0.2">
      <c r="A84" s="1">
        <v>84</v>
      </c>
      <c r="B84" s="1">
        <v>90</v>
      </c>
      <c r="C84" s="1">
        <v>1.36</v>
      </c>
      <c r="D84" s="1">
        <v>76</v>
      </c>
      <c r="F84" s="1">
        <f t="shared" si="1"/>
        <v>100.88</v>
      </c>
      <c r="L84" s="1">
        <v>84</v>
      </c>
      <c r="M84" s="1" t="s">
        <v>95</v>
      </c>
      <c r="O84" s="1">
        <v>84</v>
      </c>
      <c r="P84" s="1">
        <v>84</v>
      </c>
      <c r="R84" s="1" t="s">
        <v>90</v>
      </c>
      <c r="S84" s="1" t="s">
        <v>95</v>
      </c>
      <c r="Z84" s="1" t="str">
        <f t="shared" si="2"/>
        <v>2ada</v>
      </c>
      <c r="AA84" s="1">
        <v>2</v>
      </c>
      <c r="AB84" s="1" t="s">
        <v>91</v>
      </c>
      <c r="AC84" s="1" t="s">
        <v>89</v>
      </c>
    </row>
    <row r="85" spans="1:29" x14ac:dyDescent="0.2">
      <c r="A85" s="1">
        <v>85</v>
      </c>
      <c r="B85" s="1">
        <v>90</v>
      </c>
      <c r="C85" s="1">
        <v>1.36</v>
      </c>
      <c r="D85" s="1">
        <v>76</v>
      </c>
      <c r="F85" s="1">
        <f t="shared" si="1"/>
        <v>102.24</v>
      </c>
      <c r="L85" s="1">
        <v>85</v>
      </c>
      <c r="M85" s="1" t="s">
        <v>95</v>
      </c>
      <c r="O85" s="1">
        <v>85</v>
      </c>
      <c r="P85" s="1">
        <v>85</v>
      </c>
      <c r="R85" s="1" t="s">
        <v>90</v>
      </c>
      <c r="S85" s="1" t="s">
        <v>95</v>
      </c>
      <c r="Z85" s="1" t="str">
        <f t="shared" si="2"/>
        <v>2tidak ada</v>
      </c>
      <c r="AA85" s="1">
        <v>2</v>
      </c>
      <c r="AB85" s="1" t="s">
        <v>90</v>
      </c>
      <c r="AC85" s="1" t="s">
        <v>89</v>
      </c>
    </row>
    <row r="86" spans="1:29" x14ac:dyDescent="0.2">
      <c r="A86" s="1">
        <v>86</v>
      </c>
      <c r="B86" s="1">
        <v>90</v>
      </c>
      <c r="C86" s="1">
        <v>1.36</v>
      </c>
      <c r="D86" s="1">
        <v>76</v>
      </c>
      <c r="F86" s="1">
        <f t="shared" si="1"/>
        <v>103.6</v>
      </c>
      <c r="L86" s="1">
        <v>86</v>
      </c>
      <c r="M86" s="1" t="s">
        <v>95</v>
      </c>
      <c r="O86" s="1">
        <v>86</v>
      </c>
      <c r="P86" s="1">
        <v>86</v>
      </c>
      <c r="R86" s="1" t="s">
        <v>90</v>
      </c>
      <c r="S86" s="1" t="s">
        <v>95</v>
      </c>
      <c r="Z86" s="1" t="str">
        <f t="shared" si="2"/>
        <v>30ada</v>
      </c>
      <c r="AA86" s="1">
        <v>30</v>
      </c>
      <c r="AB86" s="1" t="s">
        <v>91</v>
      </c>
      <c r="AC86" s="1" t="s">
        <v>89</v>
      </c>
    </row>
    <row r="87" spans="1:29" x14ac:dyDescent="0.2">
      <c r="A87" s="1">
        <v>87</v>
      </c>
      <c r="B87" s="1">
        <v>90</v>
      </c>
      <c r="C87" s="1">
        <v>1.36</v>
      </c>
      <c r="D87" s="1">
        <v>76</v>
      </c>
      <c r="F87" s="1">
        <f t="shared" si="1"/>
        <v>104.96000000000001</v>
      </c>
      <c r="L87" s="1">
        <v>87</v>
      </c>
      <c r="M87" s="1" t="s">
        <v>95</v>
      </c>
      <c r="O87" s="1">
        <v>87</v>
      </c>
      <c r="P87" s="1">
        <v>87</v>
      </c>
      <c r="R87" s="1" t="s">
        <v>90</v>
      </c>
      <c r="S87" s="1" t="s">
        <v>95</v>
      </c>
      <c r="Z87" s="1" t="str">
        <f t="shared" si="2"/>
        <v>30tidak ada</v>
      </c>
      <c r="AA87" s="1">
        <v>30</v>
      </c>
      <c r="AB87" s="1" t="s">
        <v>90</v>
      </c>
      <c r="AC87" s="1" t="s">
        <v>89</v>
      </c>
    </row>
    <row r="88" spans="1:29" x14ac:dyDescent="0.2">
      <c r="A88" s="1">
        <v>88</v>
      </c>
      <c r="B88" s="1">
        <v>90</v>
      </c>
      <c r="C88" s="1">
        <v>1.36</v>
      </c>
      <c r="D88" s="1">
        <v>76</v>
      </c>
      <c r="F88" s="1">
        <f t="shared" si="1"/>
        <v>106.32</v>
      </c>
      <c r="L88" s="1">
        <v>88</v>
      </c>
      <c r="M88" s="1" t="s">
        <v>95</v>
      </c>
      <c r="O88" s="1">
        <v>88</v>
      </c>
      <c r="P88" s="1">
        <v>88</v>
      </c>
      <c r="R88" s="1" t="s">
        <v>90</v>
      </c>
      <c r="S88" s="1" t="s">
        <v>95</v>
      </c>
      <c r="Z88" s="1" t="str">
        <f t="shared" si="2"/>
        <v>31ada</v>
      </c>
      <c r="AA88" s="1">
        <v>31</v>
      </c>
      <c r="AB88" s="1" t="s">
        <v>91</v>
      </c>
      <c r="AC88" s="1" t="s">
        <v>89</v>
      </c>
    </row>
    <row r="89" spans="1:29" x14ac:dyDescent="0.2">
      <c r="A89" s="1">
        <v>89</v>
      </c>
      <c r="B89" s="1">
        <v>90</v>
      </c>
      <c r="C89" s="1">
        <v>1.36</v>
      </c>
      <c r="D89" s="1">
        <v>76</v>
      </c>
      <c r="F89" s="1">
        <f t="shared" si="1"/>
        <v>107.68</v>
      </c>
      <c r="L89" s="1">
        <v>89</v>
      </c>
      <c r="M89" s="1" t="s">
        <v>95</v>
      </c>
      <c r="O89" s="1">
        <v>89</v>
      </c>
      <c r="P89" s="1">
        <v>89</v>
      </c>
      <c r="R89" s="1" t="s">
        <v>90</v>
      </c>
      <c r="S89" s="1" t="s">
        <v>95</v>
      </c>
      <c r="Z89" s="1" t="str">
        <f t="shared" si="2"/>
        <v>31tidak ada</v>
      </c>
      <c r="AA89" s="1">
        <v>31</v>
      </c>
      <c r="AB89" s="1" t="s">
        <v>90</v>
      </c>
      <c r="AC89" s="1" t="s">
        <v>89</v>
      </c>
    </row>
    <row r="90" spans="1:29" x14ac:dyDescent="0.2">
      <c r="A90" s="1">
        <v>90</v>
      </c>
      <c r="B90" s="1">
        <v>90</v>
      </c>
      <c r="C90" s="1">
        <v>1.36</v>
      </c>
      <c r="D90" s="1">
        <v>76</v>
      </c>
      <c r="F90" s="1">
        <f t="shared" si="1"/>
        <v>109.04</v>
      </c>
      <c r="L90" s="1">
        <v>90</v>
      </c>
      <c r="M90" s="1" t="s">
        <v>96</v>
      </c>
      <c r="O90" s="1">
        <v>90</v>
      </c>
      <c r="P90" s="1">
        <v>90</v>
      </c>
      <c r="R90" s="1" t="s">
        <v>90</v>
      </c>
      <c r="S90" s="1" t="s">
        <v>96</v>
      </c>
      <c r="Z90" s="1" t="str">
        <f t="shared" si="2"/>
        <v>32ada</v>
      </c>
      <c r="AA90" s="1">
        <v>32</v>
      </c>
      <c r="AB90" s="1" t="s">
        <v>91</v>
      </c>
      <c r="AC90" s="1" t="s">
        <v>89</v>
      </c>
    </row>
    <row r="91" spans="1:29" x14ac:dyDescent="0.2">
      <c r="A91" s="1">
        <v>91</v>
      </c>
      <c r="B91" s="1">
        <v>110</v>
      </c>
      <c r="C91" s="1">
        <v>1.25</v>
      </c>
      <c r="D91" s="1">
        <v>91</v>
      </c>
      <c r="F91" s="1">
        <f t="shared" si="1"/>
        <v>110</v>
      </c>
      <c r="L91" s="1">
        <v>91</v>
      </c>
      <c r="M91" s="1" t="s">
        <v>96</v>
      </c>
      <c r="O91" s="1">
        <v>91</v>
      </c>
      <c r="P91" s="1">
        <v>91</v>
      </c>
      <c r="R91" s="1" t="s">
        <v>90</v>
      </c>
      <c r="S91" s="1" t="s">
        <v>96</v>
      </c>
      <c r="Z91" s="1" t="str">
        <f t="shared" si="2"/>
        <v>32tidak ada</v>
      </c>
      <c r="AA91" s="1">
        <v>32</v>
      </c>
      <c r="AB91" s="1" t="s">
        <v>90</v>
      </c>
      <c r="AC91" s="1" t="s">
        <v>89</v>
      </c>
    </row>
    <row r="92" spans="1:29" x14ac:dyDescent="0.2">
      <c r="A92" s="1">
        <v>92</v>
      </c>
      <c r="B92" s="1">
        <v>110</v>
      </c>
      <c r="C92" s="1">
        <v>1.25</v>
      </c>
      <c r="D92" s="1">
        <v>91</v>
      </c>
      <c r="F92" s="1">
        <f t="shared" si="1"/>
        <v>111.25</v>
      </c>
      <c r="L92" s="1">
        <v>92</v>
      </c>
      <c r="M92" s="1" t="s">
        <v>96</v>
      </c>
      <c r="O92" s="1">
        <v>92</v>
      </c>
      <c r="P92" s="1">
        <v>92</v>
      </c>
      <c r="R92" s="1" t="s">
        <v>90</v>
      </c>
      <c r="S92" s="1" t="s">
        <v>96</v>
      </c>
      <c r="Z92" s="1" t="str">
        <f t="shared" si="2"/>
        <v>33ada</v>
      </c>
      <c r="AA92" s="1">
        <v>33</v>
      </c>
      <c r="AB92" s="1" t="s">
        <v>91</v>
      </c>
      <c r="AC92" s="1" t="s">
        <v>89</v>
      </c>
    </row>
    <row r="93" spans="1:29" x14ac:dyDescent="0.2">
      <c r="A93" s="1">
        <v>93</v>
      </c>
      <c r="B93" s="1">
        <v>110</v>
      </c>
      <c r="C93" s="1">
        <v>1.25</v>
      </c>
      <c r="D93" s="1">
        <v>91</v>
      </c>
      <c r="F93" s="1">
        <f>B93+((C93)*(A93-D93))</f>
        <v>112.5</v>
      </c>
      <c r="L93" s="1">
        <v>93</v>
      </c>
      <c r="M93" s="1" t="s">
        <v>96</v>
      </c>
      <c r="O93" s="1">
        <v>93</v>
      </c>
      <c r="P93" s="1">
        <v>93</v>
      </c>
      <c r="R93" s="1" t="s">
        <v>90</v>
      </c>
      <c r="S93" s="1" t="s">
        <v>96</v>
      </c>
      <c r="Z93" s="1" t="str">
        <f t="shared" si="2"/>
        <v>33tidak ada</v>
      </c>
      <c r="AA93" s="1">
        <v>33</v>
      </c>
      <c r="AB93" s="1" t="s">
        <v>90</v>
      </c>
      <c r="AC93" s="1" t="s">
        <v>89</v>
      </c>
    </row>
    <row r="94" spans="1:29" x14ac:dyDescent="0.2">
      <c r="A94" s="1">
        <v>94</v>
      </c>
      <c r="B94" s="1">
        <v>110</v>
      </c>
      <c r="C94" s="1">
        <v>1.25</v>
      </c>
      <c r="D94" s="1">
        <v>91</v>
      </c>
      <c r="F94" s="1">
        <f t="shared" ref="F94:F99" si="3">B94+((C94)*(A94-D94))</f>
        <v>113.75</v>
      </c>
      <c r="L94" s="1">
        <v>94</v>
      </c>
      <c r="M94" s="1" t="s">
        <v>96</v>
      </c>
      <c r="O94" s="1">
        <v>94</v>
      </c>
      <c r="P94" s="1">
        <v>94</v>
      </c>
      <c r="R94" s="1" t="s">
        <v>90</v>
      </c>
      <c r="S94" s="1" t="s">
        <v>96</v>
      </c>
      <c r="Z94" s="1" t="str">
        <f t="shared" si="2"/>
        <v>34ada</v>
      </c>
      <c r="AA94" s="1">
        <v>34</v>
      </c>
      <c r="AB94" s="1" t="s">
        <v>91</v>
      </c>
      <c r="AC94" s="1" t="s">
        <v>89</v>
      </c>
    </row>
    <row r="95" spans="1:29" x14ac:dyDescent="0.2">
      <c r="A95" s="1">
        <v>95</v>
      </c>
      <c r="B95" s="1">
        <v>110</v>
      </c>
      <c r="C95" s="1">
        <v>1.25</v>
      </c>
      <c r="D95" s="1">
        <v>91</v>
      </c>
      <c r="F95" s="1">
        <f t="shared" si="3"/>
        <v>115</v>
      </c>
      <c r="L95" s="1">
        <v>95</v>
      </c>
      <c r="M95" s="1" t="s">
        <v>96</v>
      </c>
      <c r="O95" s="1">
        <v>95</v>
      </c>
      <c r="P95" s="1">
        <v>95</v>
      </c>
      <c r="R95" s="1" t="s">
        <v>90</v>
      </c>
      <c r="S95" s="1" t="s">
        <v>96</v>
      </c>
      <c r="Z95" s="1" t="str">
        <f t="shared" si="2"/>
        <v>34tidak ada</v>
      </c>
      <c r="AA95" s="1">
        <v>34</v>
      </c>
      <c r="AB95" s="1" t="s">
        <v>90</v>
      </c>
      <c r="AC95" s="1" t="s">
        <v>89</v>
      </c>
    </row>
    <row r="96" spans="1:29" x14ac:dyDescent="0.2">
      <c r="A96" s="1">
        <v>96</v>
      </c>
      <c r="B96" s="1">
        <v>110</v>
      </c>
      <c r="C96" s="1">
        <v>1.25</v>
      </c>
      <c r="D96" s="1">
        <v>91</v>
      </c>
      <c r="F96" s="1">
        <f t="shared" si="3"/>
        <v>116.25</v>
      </c>
      <c r="L96" s="1">
        <v>96</v>
      </c>
      <c r="M96" s="1" t="s">
        <v>96</v>
      </c>
      <c r="O96" s="1">
        <v>96</v>
      </c>
      <c r="P96" s="1">
        <v>96</v>
      </c>
      <c r="R96" s="1" t="s">
        <v>90</v>
      </c>
      <c r="S96" s="1" t="s">
        <v>96</v>
      </c>
      <c r="Z96" s="1" t="str">
        <f t="shared" si="2"/>
        <v>35ada</v>
      </c>
      <c r="AA96" s="1">
        <v>35</v>
      </c>
      <c r="AB96" s="1" t="s">
        <v>91</v>
      </c>
      <c r="AC96" s="1" t="s">
        <v>89</v>
      </c>
    </row>
    <row r="97" spans="1:29" x14ac:dyDescent="0.2">
      <c r="A97" s="1">
        <v>97</v>
      </c>
      <c r="B97" s="1">
        <v>110</v>
      </c>
      <c r="C97" s="1">
        <v>1.25</v>
      </c>
      <c r="D97" s="1">
        <v>91</v>
      </c>
      <c r="F97" s="1">
        <f t="shared" si="3"/>
        <v>117.5</v>
      </c>
      <c r="L97" s="1">
        <v>97</v>
      </c>
      <c r="M97" s="1" t="s">
        <v>96</v>
      </c>
      <c r="O97" s="1">
        <v>97</v>
      </c>
      <c r="P97" s="1">
        <v>97</v>
      </c>
      <c r="R97" s="1" t="s">
        <v>90</v>
      </c>
      <c r="S97" s="1" t="s">
        <v>96</v>
      </c>
      <c r="Z97" s="1" t="str">
        <f t="shared" si="2"/>
        <v>35tidak ada</v>
      </c>
      <c r="AA97" s="1">
        <v>35</v>
      </c>
      <c r="AB97" s="1" t="s">
        <v>90</v>
      </c>
      <c r="AC97" s="1" t="s">
        <v>89</v>
      </c>
    </row>
    <row r="98" spans="1:29" x14ac:dyDescent="0.2">
      <c r="A98" s="1">
        <v>98</v>
      </c>
      <c r="B98" s="1">
        <v>110</v>
      </c>
      <c r="C98" s="1">
        <v>1.25</v>
      </c>
      <c r="D98" s="1">
        <v>91</v>
      </c>
      <c r="F98" s="1">
        <f t="shared" si="3"/>
        <v>118.75</v>
      </c>
      <c r="L98" s="1">
        <v>98</v>
      </c>
      <c r="M98" s="1" t="s">
        <v>96</v>
      </c>
      <c r="O98" s="1">
        <v>98</v>
      </c>
      <c r="P98" s="1">
        <v>98</v>
      </c>
      <c r="R98" s="1" t="s">
        <v>90</v>
      </c>
      <c r="S98" s="1" t="s">
        <v>96</v>
      </c>
      <c r="Z98" s="1" t="str">
        <f t="shared" si="2"/>
        <v>36ada</v>
      </c>
      <c r="AA98" s="1">
        <v>36</v>
      </c>
      <c r="AB98" s="1" t="s">
        <v>91</v>
      </c>
      <c r="AC98" s="1" t="s">
        <v>89</v>
      </c>
    </row>
    <row r="99" spans="1:29" x14ac:dyDescent="0.2">
      <c r="A99" s="1">
        <v>99</v>
      </c>
      <c r="B99" s="1">
        <v>110</v>
      </c>
      <c r="C99" s="1">
        <v>1.25</v>
      </c>
      <c r="D99" s="1">
        <v>91</v>
      </c>
      <c r="F99" s="1">
        <f t="shared" si="3"/>
        <v>120</v>
      </c>
      <c r="L99" s="1">
        <v>99</v>
      </c>
      <c r="M99" s="1" t="s">
        <v>96</v>
      </c>
      <c r="O99" s="1">
        <v>99</v>
      </c>
      <c r="P99" s="1">
        <v>99</v>
      </c>
      <c r="R99" s="1" t="s">
        <v>90</v>
      </c>
      <c r="S99" s="1" t="s">
        <v>96</v>
      </c>
      <c r="Z99" s="1" t="str">
        <f t="shared" si="2"/>
        <v>36tidak ada</v>
      </c>
      <c r="AA99" s="1">
        <v>36</v>
      </c>
      <c r="AB99" s="1" t="s">
        <v>90</v>
      </c>
      <c r="AC99" s="1" t="s">
        <v>89</v>
      </c>
    </row>
    <row r="100" spans="1:29" x14ac:dyDescent="0.2">
      <c r="L100" s="1">
        <v>100</v>
      </c>
      <c r="M100" s="1" t="s">
        <v>96</v>
      </c>
      <c r="O100" s="1">
        <v>100</v>
      </c>
      <c r="P100" s="1">
        <v>100</v>
      </c>
      <c r="R100" s="1" t="s">
        <v>90</v>
      </c>
      <c r="S100" s="1" t="s">
        <v>96</v>
      </c>
      <c r="Z100" s="1" t="str">
        <f t="shared" si="2"/>
        <v>37ada</v>
      </c>
      <c r="AA100" s="1">
        <v>37</v>
      </c>
      <c r="AB100" s="1" t="s">
        <v>91</v>
      </c>
      <c r="AC100" s="1" t="s">
        <v>89</v>
      </c>
    </row>
    <row r="101" spans="1:29" x14ac:dyDescent="0.2">
      <c r="L101" s="1">
        <v>101</v>
      </c>
      <c r="M101" s="1" t="s">
        <v>96</v>
      </c>
      <c r="O101" s="1">
        <v>101</v>
      </c>
      <c r="P101" s="1">
        <v>101</v>
      </c>
      <c r="R101" s="1" t="s">
        <v>90</v>
      </c>
      <c r="S101" s="1" t="s">
        <v>96</v>
      </c>
      <c r="Z101" s="1" t="str">
        <f t="shared" si="2"/>
        <v>37tidak ada</v>
      </c>
      <c r="AA101" s="1">
        <v>37</v>
      </c>
      <c r="AB101" s="1" t="s">
        <v>90</v>
      </c>
      <c r="AC101" s="1" t="s">
        <v>89</v>
      </c>
    </row>
    <row r="102" spans="1:29" x14ac:dyDescent="0.2">
      <c r="L102" s="1">
        <v>102</v>
      </c>
      <c r="M102" s="1" t="s">
        <v>96</v>
      </c>
      <c r="O102" s="1">
        <v>102</v>
      </c>
      <c r="P102" s="1">
        <v>102</v>
      </c>
      <c r="R102" s="1" t="s">
        <v>90</v>
      </c>
      <c r="S102" s="1" t="s">
        <v>96</v>
      </c>
      <c r="Z102" s="1" t="str">
        <f t="shared" si="2"/>
        <v>38ada</v>
      </c>
      <c r="AA102" s="1">
        <v>38</v>
      </c>
      <c r="AB102" s="1" t="s">
        <v>91</v>
      </c>
      <c r="AC102" s="1" t="s">
        <v>89</v>
      </c>
    </row>
    <row r="103" spans="1:29" x14ac:dyDescent="0.2">
      <c r="L103" s="1">
        <v>103</v>
      </c>
      <c r="M103" s="1" t="s">
        <v>96</v>
      </c>
      <c r="O103" s="1">
        <v>103</v>
      </c>
      <c r="P103" s="1">
        <v>103</v>
      </c>
      <c r="R103" s="1" t="s">
        <v>90</v>
      </c>
      <c r="S103" s="1" t="s">
        <v>96</v>
      </c>
      <c r="Z103" s="1" t="str">
        <f t="shared" si="2"/>
        <v>38tidak ada</v>
      </c>
      <c r="AA103" s="1">
        <v>38</v>
      </c>
      <c r="AB103" s="1" t="s">
        <v>90</v>
      </c>
      <c r="AC103" s="1" t="s">
        <v>89</v>
      </c>
    </row>
    <row r="104" spans="1:29" x14ac:dyDescent="0.2">
      <c r="L104" s="1">
        <v>104</v>
      </c>
      <c r="M104" s="1" t="s">
        <v>96</v>
      </c>
      <c r="O104" s="1">
        <v>104</v>
      </c>
      <c r="P104" s="1">
        <v>104</v>
      </c>
      <c r="R104" s="1" t="s">
        <v>90</v>
      </c>
      <c r="S104" s="1" t="s">
        <v>96</v>
      </c>
      <c r="Z104" s="1" t="str">
        <f t="shared" si="2"/>
        <v>39ada</v>
      </c>
      <c r="AA104" s="1">
        <v>39</v>
      </c>
      <c r="AB104" s="1" t="s">
        <v>91</v>
      </c>
      <c r="AC104" s="1" t="s">
        <v>89</v>
      </c>
    </row>
    <row r="105" spans="1:29" x14ac:dyDescent="0.2">
      <c r="L105" s="1">
        <v>105</v>
      </c>
      <c r="M105" s="1" t="s">
        <v>96</v>
      </c>
      <c r="O105" s="1">
        <v>105</v>
      </c>
      <c r="P105" s="1">
        <v>105</v>
      </c>
      <c r="R105" s="1" t="s">
        <v>90</v>
      </c>
      <c r="S105" s="1" t="s">
        <v>96</v>
      </c>
      <c r="Z105" s="1" t="str">
        <f t="shared" si="2"/>
        <v>39tidak ada</v>
      </c>
      <c r="AA105" s="1">
        <v>39</v>
      </c>
      <c r="AB105" s="1" t="s">
        <v>90</v>
      </c>
      <c r="AC105" s="1" t="s">
        <v>89</v>
      </c>
    </row>
    <row r="106" spans="1:29" x14ac:dyDescent="0.2">
      <c r="L106" s="1">
        <v>106</v>
      </c>
      <c r="M106" s="1" t="s">
        <v>96</v>
      </c>
      <c r="O106" s="1">
        <v>106</v>
      </c>
      <c r="P106" s="1">
        <v>106</v>
      </c>
      <c r="R106" s="1" t="s">
        <v>90</v>
      </c>
      <c r="S106" s="1" t="s">
        <v>96</v>
      </c>
      <c r="Z106" s="1" t="str">
        <f t="shared" si="2"/>
        <v>3ada</v>
      </c>
      <c r="AA106" s="1">
        <v>3</v>
      </c>
      <c r="AB106" s="1" t="s">
        <v>91</v>
      </c>
      <c r="AC106" s="1" t="s">
        <v>89</v>
      </c>
    </row>
    <row r="107" spans="1:29" x14ac:dyDescent="0.2">
      <c r="L107" s="1">
        <v>107</v>
      </c>
      <c r="M107" s="1" t="s">
        <v>96</v>
      </c>
      <c r="O107" s="1">
        <v>107</v>
      </c>
      <c r="P107" s="1">
        <v>107</v>
      </c>
      <c r="R107" s="1" t="s">
        <v>90</v>
      </c>
      <c r="S107" s="1" t="s">
        <v>96</v>
      </c>
      <c r="Z107" s="1" t="str">
        <f t="shared" si="2"/>
        <v>3tidak ada</v>
      </c>
      <c r="AA107" s="1">
        <v>3</v>
      </c>
      <c r="AB107" s="1" t="s">
        <v>90</v>
      </c>
      <c r="AC107" s="1" t="s">
        <v>89</v>
      </c>
    </row>
    <row r="108" spans="1:29" x14ac:dyDescent="0.2">
      <c r="L108" s="1">
        <v>108</v>
      </c>
      <c r="M108" s="1" t="s">
        <v>96</v>
      </c>
      <c r="O108" s="1">
        <v>108</v>
      </c>
      <c r="P108" s="1">
        <v>108</v>
      </c>
      <c r="R108" s="1" t="s">
        <v>90</v>
      </c>
      <c r="S108" s="1" t="s">
        <v>96</v>
      </c>
      <c r="Z108" s="1" t="str">
        <f t="shared" si="2"/>
        <v>40ada</v>
      </c>
      <c r="AA108" s="1">
        <v>40</v>
      </c>
      <c r="AB108" s="1" t="s">
        <v>91</v>
      </c>
      <c r="AC108" s="1" t="s">
        <v>89</v>
      </c>
    </row>
    <row r="109" spans="1:29" x14ac:dyDescent="0.2">
      <c r="L109" s="1">
        <v>109</v>
      </c>
      <c r="M109" s="1" t="s">
        <v>96</v>
      </c>
      <c r="O109" s="1">
        <v>109</v>
      </c>
      <c r="P109" s="1">
        <v>109</v>
      </c>
      <c r="R109" s="1" t="s">
        <v>90</v>
      </c>
      <c r="S109" s="1" t="s">
        <v>96</v>
      </c>
      <c r="Z109" s="1" t="str">
        <f t="shared" si="2"/>
        <v>40tidak ada</v>
      </c>
      <c r="AA109" s="1">
        <v>40</v>
      </c>
      <c r="AB109" s="1" t="s">
        <v>90</v>
      </c>
      <c r="AC109" s="1" t="s">
        <v>89</v>
      </c>
    </row>
    <row r="110" spans="1:29" x14ac:dyDescent="0.2">
      <c r="L110" s="1">
        <v>110</v>
      </c>
      <c r="M110" s="1" t="s">
        <v>96</v>
      </c>
      <c r="N110" s="1" t="s">
        <v>97</v>
      </c>
      <c r="O110" s="1" t="str">
        <f t="shared" ref="O110:O131" si="4">P110&amp;R110</f>
        <v>110ada</v>
      </c>
      <c r="P110" s="1">
        <v>110</v>
      </c>
      <c r="R110" s="1" t="s">
        <v>91</v>
      </c>
      <c r="S110" s="1" t="s">
        <v>97</v>
      </c>
      <c r="Z110" s="1" t="str">
        <f t="shared" si="2"/>
        <v>41ada</v>
      </c>
      <c r="AA110" s="1">
        <v>41</v>
      </c>
      <c r="AB110" s="1" t="s">
        <v>91</v>
      </c>
      <c r="AC110" s="1" t="s">
        <v>89</v>
      </c>
    </row>
    <row r="111" spans="1:29" x14ac:dyDescent="0.2">
      <c r="L111" s="1">
        <v>111</v>
      </c>
      <c r="M111" s="1" t="s">
        <v>96</v>
      </c>
      <c r="N111" s="1" t="s">
        <v>97</v>
      </c>
      <c r="O111" s="1" t="str">
        <f t="shared" si="4"/>
        <v>110tidak ada</v>
      </c>
      <c r="P111" s="1">
        <v>110</v>
      </c>
      <c r="R111" s="1" t="s">
        <v>90</v>
      </c>
      <c r="S111" s="1" t="s">
        <v>96</v>
      </c>
      <c r="Z111" s="1" t="str">
        <f t="shared" si="2"/>
        <v>41tidak ada</v>
      </c>
      <c r="AA111" s="1">
        <v>41</v>
      </c>
      <c r="AB111" s="1" t="s">
        <v>90</v>
      </c>
      <c r="AC111" s="1" t="s">
        <v>89</v>
      </c>
    </row>
    <row r="112" spans="1:29" x14ac:dyDescent="0.2">
      <c r="L112" s="1">
        <v>112</v>
      </c>
      <c r="M112" s="1" t="s">
        <v>96</v>
      </c>
      <c r="N112" s="1" t="s">
        <v>97</v>
      </c>
      <c r="O112" s="1" t="str">
        <f t="shared" si="4"/>
        <v>111ada</v>
      </c>
      <c r="P112" s="1">
        <v>111</v>
      </c>
      <c r="R112" s="1" t="s">
        <v>91</v>
      </c>
      <c r="S112" s="1" t="s">
        <v>97</v>
      </c>
      <c r="Z112" s="1" t="str">
        <f t="shared" si="2"/>
        <v>42ada</v>
      </c>
      <c r="AA112" s="1">
        <v>42</v>
      </c>
      <c r="AB112" s="1" t="s">
        <v>91</v>
      </c>
      <c r="AC112" s="1" t="s">
        <v>89</v>
      </c>
    </row>
    <row r="113" spans="12:29" x14ac:dyDescent="0.2">
      <c r="L113" s="1">
        <v>113</v>
      </c>
      <c r="M113" s="1" t="s">
        <v>96</v>
      </c>
      <c r="N113" s="1" t="s">
        <v>97</v>
      </c>
      <c r="O113" s="1" t="str">
        <f t="shared" si="4"/>
        <v>111tidak ada</v>
      </c>
      <c r="P113" s="1">
        <v>111</v>
      </c>
      <c r="R113" s="1" t="s">
        <v>90</v>
      </c>
      <c r="S113" s="1" t="s">
        <v>96</v>
      </c>
      <c r="Z113" s="1" t="str">
        <f t="shared" si="2"/>
        <v>42tidak ada</v>
      </c>
      <c r="AA113" s="1">
        <v>42</v>
      </c>
      <c r="AB113" s="1" t="s">
        <v>90</v>
      </c>
      <c r="AC113" s="1" t="s">
        <v>89</v>
      </c>
    </row>
    <row r="114" spans="12:29" x14ac:dyDescent="0.2">
      <c r="L114" s="1">
        <v>114</v>
      </c>
      <c r="M114" s="1" t="s">
        <v>96</v>
      </c>
      <c r="N114" s="1" t="s">
        <v>97</v>
      </c>
      <c r="O114" s="1" t="str">
        <f t="shared" si="4"/>
        <v>112ada</v>
      </c>
      <c r="P114" s="1">
        <v>112</v>
      </c>
      <c r="R114" s="1" t="s">
        <v>91</v>
      </c>
      <c r="S114" s="1" t="s">
        <v>97</v>
      </c>
      <c r="Z114" s="1" t="str">
        <f t="shared" si="2"/>
        <v>43ada</v>
      </c>
      <c r="AA114" s="1">
        <v>43</v>
      </c>
      <c r="AB114" s="1" t="s">
        <v>91</v>
      </c>
      <c r="AC114" s="1" t="s">
        <v>89</v>
      </c>
    </row>
    <row r="115" spans="12:29" x14ac:dyDescent="0.2">
      <c r="L115" s="1">
        <v>115</v>
      </c>
      <c r="M115" s="1" t="s">
        <v>96</v>
      </c>
      <c r="N115" s="1" t="s">
        <v>97</v>
      </c>
      <c r="O115" s="1" t="str">
        <f t="shared" si="4"/>
        <v>112tidak ada</v>
      </c>
      <c r="P115" s="1">
        <v>112</v>
      </c>
      <c r="R115" s="1" t="s">
        <v>90</v>
      </c>
      <c r="S115" s="1" t="s">
        <v>96</v>
      </c>
      <c r="Z115" s="1" t="str">
        <f t="shared" si="2"/>
        <v>43tidak ada</v>
      </c>
      <c r="AA115" s="1">
        <v>43</v>
      </c>
      <c r="AB115" s="1" t="s">
        <v>90</v>
      </c>
      <c r="AC115" s="1" t="s">
        <v>89</v>
      </c>
    </row>
    <row r="116" spans="12:29" x14ac:dyDescent="0.2">
      <c r="L116" s="1">
        <v>116</v>
      </c>
      <c r="M116" s="1" t="s">
        <v>96</v>
      </c>
      <c r="N116" s="1" t="s">
        <v>97</v>
      </c>
      <c r="O116" s="1" t="str">
        <f t="shared" si="4"/>
        <v>113ada</v>
      </c>
      <c r="P116" s="1">
        <v>113</v>
      </c>
      <c r="R116" s="1" t="s">
        <v>91</v>
      </c>
      <c r="S116" s="1" t="s">
        <v>97</v>
      </c>
      <c r="Z116" s="1" t="str">
        <f t="shared" si="2"/>
        <v>44ada</v>
      </c>
      <c r="AA116" s="1">
        <v>44</v>
      </c>
      <c r="AB116" s="1" t="s">
        <v>91</v>
      </c>
      <c r="AC116" s="1" t="s">
        <v>89</v>
      </c>
    </row>
    <row r="117" spans="12:29" x14ac:dyDescent="0.2">
      <c r="L117" s="1">
        <v>117</v>
      </c>
      <c r="M117" s="1" t="s">
        <v>96</v>
      </c>
      <c r="N117" s="1" t="s">
        <v>97</v>
      </c>
      <c r="O117" s="1" t="str">
        <f t="shared" si="4"/>
        <v>113tidak ada</v>
      </c>
      <c r="P117" s="1">
        <v>113</v>
      </c>
      <c r="R117" s="1" t="s">
        <v>90</v>
      </c>
      <c r="S117" s="1" t="s">
        <v>96</v>
      </c>
      <c r="Z117" s="1" t="str">
        <f t="shared" si="2"/>
        <v>44tidak ada</v>
      </c>
      <c r="AA117" s="1">
        <v>44</v>
      </c>
      <c r="AB117" s="1" t="s">
        <v>90</v>
      </c>
      <c r="AC117" s="1" t="s">
        <v>89</v>
      </c>
    </row>
    <row r="118" spans="12:29" x14ac:dyDescent="0.2">
      <c r="L118" s="1">
        <v>118</v>
      </c>
      <c r="M118" s="1" t="s">
        <v>96</v>
      </c>
      <c r="N118" s="1" t="s">
        <v>97</v>
      </c>
      <c r="O118" s="1" t="str">
        <f t="shared" si="4"/>
        <v>114ada</v>
      </c>
      <c r="P118" s="1">
        <v>114</v>
      </c>
      <c r="R118" s="1" t="s">
        <v>91</v>
      </c>
      <c r="S118" s="1" t="s">
        <v>97</v>
      </c>
      <c r="Z118" s="1" t="str">
        <f t="shared" si="2"/>
        <v>45ada</v>
      </c>
      <c r="AA118" s="1">
        <v>45</v>
      </c>
      <c r="AB118" s="1" t="s">
        <v>91</v>
      </c>
      <c r="AC118" s="1" t="s">
        <v>89</v>
      </c>
    </row>
    <row r="119" spans="12:29" x14ac:dyDescent="0.2">
      <c r="L119" s="1">
        <v>119</v>
      </c>
      <c r="M119" s="1" t="s">
        <v>96</v>
      </c>
      <c r="N119" s="1" t="s">
        <v>97</v>
      </c>
      <c r="O119" s="1" t="str">
        <f t="shared" si="4"/>
        <v>114tidak ada</v>
      </c>
      <c r="P119" s="1">
        <v>114</v>
      </c>
      <c r="R119" s="1" t="s">
        <v>90</v>
      </c>
      <c r="S119" s="1" t="s">
        <v>96</v>
      </c>
      <c r="Z119" s="1" t="str">
        <f t="shared" si="2"/>
        <v>45tidak ada</v>
      </c>
      <c r="AA119" s="1">
        <v>45</v>
      </c>
      <c r="AB119" s="1" t="s">
        <v>90</v>
      </c>
      <c r="AC119" s="1" t="s">
        <v>89</v>
      </c>
    </row>
    <row r="120" spans="12:29" x14ac:dyDescent="0.2">
      <c r="L120" s="1">
        <v>120</v>
      </c>
      <c r="M120" s="1" t="s">
        <v>96</v>
      </c>
      <c r="N120" s="1" t="s">
        <v>97</v>
      </c>
      <c r="O120" s="1" t="str">
        <f t="shared" si="4"/>
        <v>115ada</v>
      </c>
      <c r="P120" s="1">
        <v>115</v>
      </c>
      <c r="R120" s="1" t="s">
        <v>91</v>
      </c>
      <c r="S120" s="1" t="s">
        <v>97</v>
      </c>
      <c r="Z120" s="1" t="str">
        <f t="shared" si="2"/>
        <v>46ada</v>
      </c>
      <c r="AA120" s="1">
        <v>46</v>
      </c>
      <c r="AB120" s="1" t="s">
        <v>91</v>
      </c>
      <c r="AC120" s="1" t="s">
        <v>89</v>
      </c>
    </row>
    <row r="121" spans="12:29" x14ac:dyDescent="0.2">
      <c r="O121" s="1" t="str">
        <f t="shared" si="4"/>
        <v>115tidak ada</v>
      </c>
      <c r="P121" s="1">
        <v>115</v>
      </c>
      <c r="R121" s="1" t="s">
        <v>90</v>
      </c>
      <c r="S121" s="1" t="s">
        <v>96</v>
      </c>
      <c r="Z121" s="1" t="str">
        <f t="shared" si="2"/>
        <v>46tidak ada</v>
      </c>
      <c r="AA121" s="1">
        <v>46</v>
      </c>
      <c r="AB121" s="1" t="s">
        <v>90</v>
      </c>
      <c r="AC121" s="1" t="s">
        <v>89</v>
      </c>
    </row>
    <row r="122" spans="12:29" x14ac:dyDescent="0.2">
      <c r="O122" s="1" t="str">
        <f t="shared" si="4"/>
        <v>116ada</v>
      </c>
      <c r="P122" s="1">
        <v>116</v>
      </c>
      <c r="R122" s="1" t="s">
        <v>91</v>
      </c>
      <c r="S122" s="1" t="s">
        <v>97</v>
      </c>
      <c r="Z122" s="1" t="str">
        <f t="shared" si="2"/>
        <v>47ada</v>
      </c>
      <c r="AA122" s="1">
        <v>47</v>
      </c>
      <c r="AB122" s="1" t="s">
        <v>91</v>
      </c>
      <c r="AC122" s="1" t="s">
        <v>89</v>
      </c>
    </row>
    <row r="123" spans="12:29" x14ac:dyDescent="0.2">
      <c r="O123" s="1" t="str">
        <f t="shared" si="4"/>
        <v>116tidak ada</v>
      </c>
      <c r="P123" s="1">
        <v>116</v>
      </c>
      <c r="R123" s="1" t="s">
        <v>90</v>
      </c>
      <c r="S123" s="1" t="s">
        <v>96</v>
      </c>
      <c r="Z123" s="1" t="str">
        <f t="shared" si="2"/>
        <v>47tidak ada</v>
      </c>
      <c r="AA123" s="1">
        <v>47</v>
      </c>
      <c r="AB123" s="1" t="s">
        <v>90</v>
      </c>
      <c r="AC123" s="1" t="s">
        <v>89</v>
      </c>
    </row>
    <row r="124" spans="12:29" x14ac:dyDescent="0.2">
      <c r="O124" s="1" t="str">
        <f t="shared" si="4"/>
        <v>117ada</v>
      </c>
      <c r="P124" s="1">
        <v>117</v>
      </c>
      <c r="R124" s="1" t="s">
        <v>91</v>
      </c>
      <c r="S124" s="1" t="s">
        <v>97</v>
      </c>
      <c r="Z124" s="1" t="str">
        <f t="shared" si="2"/>
        <v>48ada</v>
      </c>
      <c r="AA124" s="1">
        <v>48</v>
      </c>
      <c r="AB124" s="1" t="s">
        <v>91</v>
      </c>
      <c r="AC124" s="1" t="s">
        <v>89</v>
      </c>
    </row>
    <row r="125" spans="12:29" x14ac:dyDescent="0.2">
      <c r="O125" s="1" t="str">
        <f t="shared" si="4"/>
        <v>117tidak ada</v>
      </c>
      <c r="P125" s="1">
        <v>117</v>
      </c>
      <c r="R125" s="1" t="s">
        <v>90</v>
      </c>
      <c r="S125" s="1" t="s">
        <v>96</v>
      </c>
      <c r="Z125" s="1" t="str">
        <f t="shared" si="2"/>
        <v>48tidak ada</v>
      </c>
      <c r="AA125" s="1">
        <v>48</v>
      </c>
      <c r="AB125" s="1" t="s">
        <v>90</v>
      </c>
      <c r="AC125" s="1" t="s">
        <v>89</v>
      </c>
    </row>
    <row r="126" spans="12:29" x14ac:dyDescent="0.2">
      <c r="O126" s="1" t="str">
        <f t="shared" si="4"/>
        <v>118ada</v>
      </c>
      <c r="P126" s="1">
        <v>118</v>
      </c>
      <c r="R126" s="1" t="s">
        <v>91</v>
      </c>
      <c r="S126" s="1" t="s">
        <v>97</v>
      </c>
      <c r="Z126" s="1" t="str">
        <f t="shared" si="2"/>
        <v>49ada</v>
      </c>
      <c r="AA126" s="1">
        <v>49</v>
      </c>
      <c r="AB126" s="1" t="s">
        <v>91</v>
      </c>
      <c r="AC126" s="1" t="s">
        <v>89</v>
      </c>
    </row>
    <row r="127" spans="12:29" x14ac:dyDescent="0.2">
      <c r="O127" s="1" t="str">
        <f t="shared" si="4"/>
        <v>118tidak ada</v>
      </c>
      <c r="P127" s="1">
        <v>118</v>
      </c>
      <c r="R127" s="1" t="s">
        <v>90</v>
      </c>
      <c r="S127" s="1" t="s">
        <v>96</v>
      </c>
      <c r="Z127" s="1" t="str">
        <f t="shared" si="2"/>
        <v>49tidak ada</v>
      </c>
      <c r="AA127" s="1">
        <v>49</v>
      </c>
      <c r="AB127" s="1" t="s">
        <v>90</v>
      </c>
      <c r="AC127" s="1" t="s">
        <v>89</v>
      </c>
    </row>
    <row r="128" spans="12:29" x14ac:dyDescent="0.2">
      <c r="O128" s="1" t="str">
        <f t="shared" si="4"/>
        <v>119ada</v>
      </c>
      <c r="P128" s="1">
        <v>119</v>
      </c>
      <c r="R128" s="1" t="s">
        <v>91</v>
      </c>
      <c r="S128" s="1" t="s">
        <v>97</v>
      </c>
      <c r="Z128" s="1" t="str">
        <f t="shared" si="2"/>
        <v>4ada</v>
      </c>
      <c r="AA128" s="1">
        <v>4</v>
      </c>
      <c r="AB128" s="1" t="s">
        <v>91</v>
      </c>
      <c r="AC128" s="1" t="s">
        <v>89</v>
      </c>
    </row>
    <row r="129" spans="15:29" x14ac:dyDescent="0.2">
      <c r="O129" s="1" t="str">
        <f t="shared" si="4"/>
        <v>119tidak ada</v>
      </c>
      <c r="P129" s="1">
        <v>119</v>
      </c>
      <c r="R129" s="1" t="s">
        <v>90</v>
      </c>
      <c r="S129" s="1" t="s">
        <v>96</v>
      </c>
      <c r="Z129" s="1" t="str">
        <f t="shared" ref="Z129:Z192" si="5">AA129&amp;AB129</f>
        <v>4tidak ada</v>
      </c>
      <c r="AA129" s="1">
        <v>4</v>
      </c>
      <c r="AB129" s="1" t="s">
        <v>90</v>
      </c>
      <c r="AC129" s="1" t="s">
        <v>89</v>
      </c>
    </row>
    <row r="130" spans="15:29" x14ac:dyDescent="0.2">
      <c r="O130" s="1" t="str">
        <f t="shared" si="4"/>
        <v>120ada</v>
      </c>
      <c r="P130" s="1">
        <v>120</v>
      </c>
      <c r="R130" s="1" t="s">
        <v>91</v>
      </c>
      <c r="S130" s="1" t="s">
        <v>97</v>
      </c>
      <c r="Z130" s="1" t="str">
        <f t="shared" si="5"/>
        <v>50ada</v>
      </c>
      <c r="AA130" s="1">
        <v>50</v>
      </c>
      <c r="AB130" s="1" t="s">
        <v>91</v>
      </c>
      <c r="AC130" s="1" t="s">
        <v>98</v>
      </c>
    </row>
    <row r="131" spans="15:29" x14ac:dyDescent="0.2">
      <c r="O131" s="1" t="str">
        <f t="shared" si="4"/>
        <v>120tidak ada</v>
      </c>
      <c r="P131" s="1">
        <v>120</v>
      </c>
      <c r="R131" s="1" t="s">
        <v>90</v>
      </c>
      <c r="S131" s="1" t="s">
        <v>96</v>
      </c>
      <c r="Z131" s="1" t="str">
        <f t="shared" si="5"/>
        <v>50tidak ada</v>
      </c>
      <c r="AA131" s="1">
        <v>50</v>
      </c>
      <c r="AB131" s="1" t="s">
        <v>90</v>
      </c>
      <c r="AC131" s="1" t="s">
        <v>98</v>
      </c>
    </row>
    <row r="132" spans="15:29" x14ac:dyDescent="0.2">
      <c r="Z132" s="1" t="str">
        <f t="shared" si="5"/>
        <v>51ada</v>
      </c>
      <c r="AA132" s="1">
        <v>51</v>
      </c>
      <c r="AB132" s="1" t="s">
        <v>91</v>
      </c>
      <c r="AC132" s="1" t="s">
        <v>98</v>
      </c>
    </row>
    <row r="133" spans="15:29" x14ac:dyDescent="0.2">
      <c r="Z133" s="1" t="str">
        <f t="shared" si="5"/>
        <v>51tidak ada</v>
      </c>
      <c r="AA133" s="1">
        <v>51</v>
      </c>
      <c r="AB133" s="1" t="s">
        <v>90</v>
      </c>
      <c r="AC133" s="1" t="s">
        <v>98</v>
      </c>
    </row>
    <row r="134" spans="15:29" x14ac:dyDescent="0.2">
      <c r="Z134" s="1" t="str">
        <f t="shared" si="5"/>
        <v>52ada</v>
      </c>
      <c r="AA134" s="1">
        <v>52</v>
      </c>
      <c r="AB134" s="1" t="s">
        <v>91</v>
      </c>
      <c r="AC134" s="1" t="s">
        <v>98</v>
      </c>
    </row>
    <row r="135" spans="15:29" x14ac:dyDescent="0.2">
      <c r="Z135" s="1" t="str">
        <f t="shared" si="5"/>
        <v>52tidak ada</v>
      </c>
      <c r="AA135" s="1">
        <v>52</v>
      </c>
      <c r="AB135" s="1" t="s">
        <v>90</v>
      </c>
      <c r="AC135" s="1" t="s">
        <v>98</v>
      </c>
    </row>
    <row r="136" spans="15:29" x14ac:dyDescent="0.2">
      <c r="Z136" s="1" t="str">
        <f t="shared" si="5"/>
        <v>53ada</v>
      </c>
      <c r="AA136" s="1">
        <v>53</v>
      </c>
      <c r="AB136" s="1" t="s">
        <v>91</v>
      </c>
      <c r="AC136" s="1" t="s">
        <v>98</v>
      </c>
    </row>
    <row r="137" spans="15:29" x14ac:dyDescent="0.2">
      <c r="Z137" s="1" t="str">
        <f t="shared" si="5"/>
        <v>53tidak ada</v>
      </c>
      <c r="AA137" s="1">
        <v>53</v>
      </c>
      <c r="AB137" s="1" t="s">
        <v>90</v>
      </c>
      <c r="AC137" s="1" t="s">
        <v>98</v>
      </c>
    </row>
    <row r="138" spans="15:29" x14ac:dyDescent="0.2">
      <c r="Z138" s="1" t="str">
        <f t="shared" si="5"/>
        <v>54ada</v>
      </c>
      <c r="AA138" s="1">
        <v>54</v>
      </c>
      <c r="AB138" s="1" t="s">
        <v>91</v>
      </c>
      <c r="AC138" s="1" t="s">
        <v>98</v>
      </c>
    </row>
    <row r="139" spans="15:29" x14ac:dyDescent="0.2">
      <c r="Z139" s="1" t="str">
        <f t="shared" si="5"/>
        <v>54tidak ada</v>
      </c>
      <c r="AA139" s="1">
        <v>54</v>
      </c>
      <c r="AB139" s="1" t="s">
        <v>90</v>
      </c>
      <c r="AC139" s="1" t="s">
        <v>98</v>
      </c>
    </row>
    <row r="140" spans="15:29" x14ac:dyDescent="0.2">
      <c r="Z140" s="1" t="str">
        <f t="shared" si="5"/>
        <v>55ada</v>
      </c>
      <c r="AA140" s="1">
        <v>55</v>
      </c>
      <c r="AB140" s="1" t="s">
        <v>91</v>
      </c>
      <c r="AC140" s="1" t="s">
        <v>98</v>
      </c>
    </row>
    <row r="141" spans="15:29" x14ac:dyDescent="0.2">
      <c r="Z141" s="1" t="str">
        <f t="shared" si="5"/>
        <v>55tidak ada</v>
      </c>
      <c r="AA141" s="1">
        <v>55</v>
      </c>
      <c r="AB141" s="1" t="s">
        <v>90</v>
      </c>
      <c r="AC141" s="1" t="s">
        <v>98</v>
      </c>
    </row>
    <row r="142" spans="15:29" x14ac:dyDescent="0.2">
      <c r="Z142" s="1" t="str">
        <f t="shared" si="5"/>
        <v>56ada</v>
      </c>
      <c r="AA142" s="1">
        <v>56</v>
      </c>
      <c r="AB142" s="1" t="s">
        <v>91</v>
      </c>
      <c r="AC142" s="1" t="s">
        <v>98</v>
      </c>
    </row>
    <row r="143" spans="15:29" x14ac:dyDescent="0.2">
      <c r="Z143" s="1" t="str">
        <f t="shared" si="5"/>
        <v>56tidak ada</v>
      </c>
      <c r="AA143" s="1">
        <v>56</v>
      </c>
      <c r="AB143" s="1" t="s">
        <v>90</v>
      </c>
      <c r="AC143" s="1" t="s">
        <v>98</v>
      </c>
    </row>
    <row r="144" spans="15:29" x14ac:dyDescent="0.2">
      <c r="Z144" s="1" t="str">
        <f t="shared" si="5"/>
        <v>57ada</v>
      </c>
      <c r="AA144" s="1">
        <v>57</v>
      </c>
      <c r="AB144" s="1" t="s">
        <v>91</v>
      </c>
      <c r="AC144" s="1" t="s">
        <v>98</v>
      </c>
    </row>
    <row r="145" spans="26:29" x14ac:dyDescent="0.2">
      <c r="Z145" s="1" t="str">
        <f t="shared" si="5"/>
        <v>57tidak ada</v>
      </c>
      <c r="AA145" s="1">
        <v>57</v>
      </c>
      <c r="AB145" s="1" t="s">
        <v>90</v>
      </c>
      <c r="AC145" s="1" t="s">
        <v>98</v>
      </c>
    </row>
    <row r="146" spans="26:29" x14ac:dyDescent="0.2">
      <c r="Z146" s="1" t="str">
        <f t="shared" si="5"/>
        <v>58ada</v>
      </c>
      <c r="AA146" s="1">
        <v>58</v>
      </c>
      <c r="AB146" s="1" t="s">
        <v>91</v>
      </c>
      <c r="AC146" s="1" t="s">
        <v>98</v>
      </c>
    </row>
    <row r="147" spans="26:29" x14ac:dyDescent="0.2">
      <c r="Z147" s="1" t="str">
        <f t="shared" si="5"/>
        <v>58tidak ada</v>
      </c>
      <c r="AA147" s="1">
        <v>58</v>
      </c>
      <c r="AB147" s="1" t="s">
        <v>90</v>
      </c>
      <c r="AC147" s="1" t="s">
        <v>98</v>
      </c>
    </row>
    <row r="148" spans="26:29" x14ac:dyDescent="0.2">
      <c r="Z148" s="1" t="str">
        <f t="shared" si="5"/>
        <v>59ada</v>
      </c>
      <c r="AA148" s="1">
        <v>59</v>
      </c>
      <c r="AB148" s="1" t="s">
        <v>91</v>
      </c>
      <c r="AC148" s="1" t="s">
        <v>98</v>
      </c>
    </row>
    <row r="149" spans="26:29" x14ac:dyDescent="0.2">
      <c r="Z149" s="1" t="str">
        <f t="shared" si="5"/>
        <v>59tidak ada</v>
      </c>
      <c r="AA149" s="1">
        <v>59</v>
      </c>
      <c r="AB149" s="1" t="s">
        <v>90</v>
      </c>
      <c r="AC149" s="1" t="s">
        <v>98</v>
      </c>
    </row>
    <row r="150" spans="26:29" x14ac:dyDescent="0.2">
      <c r="Z150" s="1" t="str">
        <f t="shared" si="5"/>
        <v>5ada</v>
      </c>
      <c r="AA150" s="1">
        <v>5</v>
      </c>
      <c r="AB150" s="1" t="s">
        <v>91</v>
      </c>
      <c r="AC150" s="1" t="s">
        <v>89</v>
      </c>
    </row>
    <row r="151" spans="26:29" x14ac:dyDescent="0.2">
      <c r="Z151" s="1" t="str">
        <f t="shared" si="5"/>
        <v>5tidak ada</v>
      </c>
      <c r="AA151" s="1">
        <v>5</v>
      </c>
      <c r="AB151" s="1" t="s">
        <v>90</v>
      </c>
      <c r="AC151" s="1" t="s">
        <v>89</v>
      </c>
    </row>
    <row r="152" spans="26:29" x14ac:dyDescent="0.2">
      <c r="Z152" s="1" t="str">
        <f t="shared" si="5"/>
        <v>60ada</v>
      </c>
      <c r="AA152" s="1">
        <v>60</v>
      </c>
      <c r="AB152" s="1" t="s">
        <v>91</v>
      </c>
      <c r="AC152" s="1" t="s">
        <v>98</v>
      </c>
    </row>
    <row r="153" spans="26:29" x14ac:dyDescent="0.2">
      <c r="Z153" s="1" t="str">
        <f t="shared" si="5"/>
        <v>60tidak ada</v>
      </c>
      <c r="AA153" s="1">
        <v>60</v>
      </c>
      <c r="AB153" s="1" t="s">
        <v>90</v>
      </c>
      <c r="AC153" s="1" t="s">
        <v>98</v>
      </c>
    </row>
    <row r="154" spans="26:29" x14ac:dyDescent="0.2">
      <c r="Z154" s="1" t="str">
        <f t="shared" si="5"/>
        <v>61ada</v>
      </c>
      <c r="AA154" s="1">
        <v>61</v>
      </c>
      <c r="AB154" s="1" t="s">
        <v>91</v>
      </c>
      <c r="AC154" s="1" t="s">
        <v>98</v>
      </c>
    </row>
    <row r="155" spans="26:29" x14ac:dyDescent="0.2">
      <c r="Z155" s="1" t="str">
        <f t="shared" si="5"/>
        <v>61tidak ada</v>
      </c>
      <c r="AA155" s="1">
        <v>61</v>
      </c>
      <c r="AB155" s="1" t="s">
        <v>90</v>
      </c>
      <c r="AC155" s="1" t="s">
        <v>98</v>
      </c>
    </row>
    <row r="156" spans="26:29" x14ac:dyDescent="0.2">
      <c r="Z156" s="1" t="str">
        <f t="shared" si="5"/>
        <v>62ada</v>
      </c>
      <c r="AA156" s="1">
        <v>62</v>
      </c>
      <c r="AB156" s="1" t="s">
        <v>91</v>
      </c>
      <c r="AC156" s="1" t="s">
        <v>98</v>
      </c>
    </row>
    <row r="157" spans="26:29" x14ac:dyDescent="0.2">
      <c r="Z157" s="1" t="str">
        <f t="shared" si="5"/>
        <v>62tidak ada</v>
      </c>
      <c r="AA157" s="1">
        <v>62</v>
      </c>
      <c r="AB157" s="1" t="s">
        <v>90</v>
      </c>
      <c r="AC157" s="1" t="s">
        <v>98</v>
      </c>
    </row>
    <row r="158" spans="26:29" x14ac:dyDescent="0.2">
      <c r="Z158" s="1" t="str">
        <f t="shared" si="5"/>
        <v>63ada</v>
      </c>
      <c r="AA158" s="1">
        <v>63</v>
      </c>
      <c r="AB158" s="1" t="s">
        <v>91</v>
      </c>
      <c r="AC158" s="1" t="s">
        <v>98</v>
      </c>
    </row>
    <row r="159" spans="26:29" x14ac:dyDescent="0.2">
      <c r="Z159" s="1" t="str">
        <f t="shared" si="5"/>
        <v>63tidak ada</v>
      </c>
      <c r="AA159" s="1">
        <v>63</v>
      </c>
      <c r="AB159" s="1" t="s">
        <v>90</v>
      </c>
      <c r="AC159" s="1" t="s">
        <v>98</v>
      </c>
    </row>
    <row r="160" spans="26:29" x14ac:dyDescent="0.2">
      <c r="Z160" s="1" t="str">
        <f t="shared" si="5"/>
        <v>64ada</v>
      </c>
      <c r="AA160" s="1">
        <v>64</v>
      </c>
      <c r="AB160" s="1" t="s">
        <v>91</v>
      </c>
      <c r="AC160" s="1" t="s">
        <v>98</v>
      </c>
    </row>
    <row r="161" spans="26:29" x14ac:dyDescent="0.2">
      <c r="Z161" s="1" t="str">
        <f t="shared" si="5"/>
        <v>64tidak ada</v>
      </c>
      <c r="AA161" s="1">
        <v>64</v>
      </c>
      <c r="AB161" s="1" t="s">
        <v>90</v>
      </c>
      <c r="AC161" s="1" t="s">
        <v>98</v>
      </c>
    </row>
    <row r="162" spans="26:29" x14ac:dyDescent="0.2">
      <c r="Z162" s="1" t="str">
        <f t="shared" si="5"/>
        <v>65ada</v>
      </c>
      <c r="AA162" s="1">
        <v>65</v>
      </c>
      <c r="AB162" s="1" t="s">
        <v>91</v>
      </c>
      <c r="AC162" s="1" t="s">
        <v>98</v>
      </c>
    </row>
    <row r="163" spans="26:29" x14ac:dyDescent="0.2">
      <c r="Z163" s="1" t="str">
        <f t="shared" si="5"/>
        <v>65tidak ada</v>
      </c>
      <c r="AA163" s="1">
        <v>65</v>
      </c>
      <c r="AB163" s="1" t="s">
        <v>90</v>
      </c>
      <c r="AC163" s="1" t="s">
        <v>98</v>
      </c>
    </row>
    <row r="164" spans="26:29" x14ac:dyDescent="0.2">
      <c r="Z164" s="1" t="str">
        <f t="shared" si="5"/>
        <v>66ada</v>
      </c>
      <c r="AA164" s="1">
        <v>66</v>
      </c>
      <c r="AB164" s="1" t="s">
        <v>91</v>
      </c>
      <c r="AC164" s="1" t="s">
        <v>98</v>
      </c>
    </row>
    <row r="165" spans="26:29" x14ac:dyDescent="0.2">
      <c r="Z165" s="1" t="str">
        <f t="shared" si="5"/>
        <v>66tidak ada</v>
      </c>
      <c r="AA165" s="1">
        <v>66</v>
      </c>
      <c r="AB165" s="1" t="s">
        <v>90</v>
      </c>
      <c r="AC165" s="1" t="s">
        <v>98</v>
      </c>
    </row>
    <row r="166" spans="26:29" x14ac:dyDescent="0.2">
      <c r="Z166" s="1" t="str">
        <f t="shared" si="5"/>
        <v>67ada</v>
      </c>
      <c r="AA166" s="1">
        <v>67</v>
      </c>
      <c r="AB166" s="1" t="s">
        <v>91</v>
      </c>
      <c r="AC166" s="1" t="s">
        <v>98</v>
      </c>
    </row>
    <row r="167" spans="26:29" x14ac:dyDescent="0.2">
      <c r="Z167" s="1" t="str">
        <f t="shared" si="5"/>
        <v>67tidak ada</v>
      </c>
      <c r="AA167" s="1">
        <v>67</v>
      </c>
      <c r="AB167" s="1" t="s">
        <v>90</v>
      </c>
      <c r="AC167" s="1" t="s">
        <v>98</v>
      </c>
    </row>
    <row r="168" spans="26:29" x14ac:dyDescent="0.2">
      <c r="Z168" s="1" t="str">
        <f t="shared" si="5"/>
        <v>68ada</v>
      </c>
      <c r="AA168" s="1">
        <v>68</v>
      </c>
      <c r="AB168" s="1" t="s">
        <v>91</v>
      </c>
      <c r="AC168" s="1" t="s">
        <v>98</v>
      </c>
    </row>
    <row r="169" spans="26:29" x14ac:dyDescent="0.2">
      <c r="Z169" s="1" t="str">
        <f t="shared" si="5"/>
        <v>68tidak ada</v>
      </c>
      <c r="AA169" s="1">
        <v>68</v>
      </c>
      <c r="AB169" s="1" t="s">
        <v>90</v>
      </c>
      <c r="AC169" s="1" t="s">
        <v>98</v>
      </c>
    </row>
    <row r="170" spans="26:29" x14ac:dyDescent="0.2">
      <c r="Z170" s="1" t="str">
        <f t="shared" si="5"/>
        <v>69ada</v>
      </c>
      <c r="AA170" s="1">
        <v>69</v>
      </c>
      <c r="AB170" s="1" t="s">
        <v>91</v>
      </c>
      <c r="AC170" s="1" t="s">
        <v>98</v>
      </c>
    </row>
    <row r="171" spans="26:29" x14ac:dyDescent="0.2">
      <c r="Z171" s="1" t="str">
        <f t="shared" si="5"/>
        <v>69tidak ada</v>
      </c>
      <c r="AA171" s="1">
        <v>69</v>
      </c>
      <c r="AB171" s="1" t="s">
        <v>90</v>
      </c>
      <c r="AC171" s="1" t="s">
        <v>98</v>
      </c>
    </row>
    <row r="172" spans="26:29" x14ac:dyDescent="0.2">
      <c r="Z172" s="1" t="str">
        <f t="shared" si="5"/>
        <v>6ada</v>
      </c>
      <c r="AA172" s="1">
        <v>6</v>
      </c>
      <c r="AB172" s="1" t="s">
        <v>91</v>
      </c>
      <c r="AC172" s="1" t="s">
        <v>89</v>
      </c>
    </row>
    <row r="173" spans="26:29" x14ac:dyDescent="0.2">
      <c r="Z173" s="1" t="str">
        <f t="shared" si="5"/>
        <v>6tidak ada</v>
      </c>
      <c r="AA173" s="1">
        <v>6</v>
      </c>
      <c r="AB173" s="1" t="s">
        <v>90</v>
      </c>
      <c r="AC173" s="1" t="s">
        <v>89</v>
      </c>
    </row>
    <row r="174" spans="26:29" x14ac:dyDescent="0.2">
      <c r="Z174" s="1" t="str">
        <f t="shared" si="5"/>
        <v>70ada</v>
      </c>
      <c r="AA174" s="1">
        <v>70</v>
      </c>
      <c r="AB174" s="1" t="s">
        <v>91</v>
      </c>
      <c r="AC174" s="1" t="s">
        <v>99</v>
      </c>
    </row>
    <row r="175" spans="26:29" x14ac:dyDescent="0.2">
      <c r="Z175" s="1" t="str">
        <f t="shared" si="5"/>
        <v>70tidak ada</v>
      </c>
      <c r="AA175" s="1">
        <v>70</v>
      </c>
      <c r="AB175" s="1" t="s">
        <v>90</v>
      </c>
      <c r="AC175" s="1" t="s">
        <v>99</v>
      </c>
    </row>
    <row r="176" spans="26:29" x14ac:dyDescent="0.2">
      <c r="Z176" s="1" t="str">
        <f t="shared" si="5"/>
        <v>71ada</v>
      </c>
      <c r="AA176" s="1">
        <v>71</v>
      </c>
      <c r="AB176" s="1" t="s">
        <v>91</v>
      </c>
      <c r="AC176" s="1" t="s">
        <v>99</v>
      </c>
    </row>
    <row r="177" spans="26:29" x14ac:dyDescent="0.2">
      <c r="Z177" s="1" t="str">
        <f t="shared" si="5"/>
        <v>71tidak ada</v>
      </c>
      <c r="AA177" s="1">
        <v>71</v>
      </c>
      <c r="AB177" s="1" t="s">
        <v>90</v>
      </c>
      <c r="AC177" s="1" t="s">
        <v>99</v>
      </c>
    </row>
    <row r="178" spans="26:29" x14ac:dyDescent="0.2">
      <c r="Z178" s="1" t="str">
        <f t="shared" si="5"/>
        <v>72ada</v>
      </c>
      <c r="AA178" s="1">
        <v>72</v>
      </c>
      <c r="AB178" s="1" t="s">
        <v>91</v>
      </c>
      <c r="AC178" s="1" t="s">
        <v>99</v>
      </c>
    </row>
    <row r="179" spans="26:29" x14ac:dyDescent="0.2">
      <c r="Z179" s="1" t="str">
        <f t="shared" si="5"/>
        <v>72tidak ada</v>
      </c>
      <c r="AA179" s="1">
        <v>72</v>
      </c>
      <c r="AB179" s="1" t="s">
        <v>90</v>
      </c>
      <c r="AC179" s="1" t="s">
        <v>99</v>
      </c>
    </row>
    <row r="180" spans="26:29" x14ac:dyDescent="0.2">
      <c r="Z180" s="1" t="str">
        <f t="shared" si="5"/>
        <v>73ada</v>
      </c>
      <c r="AA180" s="1">
        <v>73</v>
      </c>
      <c r="AB180" s="1" t="s">
        <v>91</v>
      </c>
      <c r="AC180" s="1" t="s">
        <v>99</v>
      </c>
    </row>
    <row r="181" spans="26:29" x14ac:dyDescent="0.2">
      <c r="Z181" s="1" t="str">
        <f t="shared" si="5"/>
        <v>73tidak ada</v>
      </c>
      <c r="AA181" s="1">
        <v>73</v>
      </c>
      <c r="AB181" s="1" t="s">
        <v>90</v>
      </c>
      <c r="AC181" s="1" t="s">
        <v>99</v>
      </c>
    </row>
    <row r="182" spans="26:29" x14ac:dyDescent="0.2">
      <c r="Z182" s="1" t="str">
        <f t="shared" si="5"/>
        <v>74ada</v>
      </c>
      <c r="AA182" s="1">
        <v>74</v>
      </c>
      <c r="AB182" s="1" t="s">
        <v>91</v>
      </c>
      <c r="AC182" s="1" t="s">
        <v>99</v>
      </c>
    </row>
    <row r="183" spans="26:29" x14ac:dyDescent="0.2">
      <c r="Z183" s="1" t="str">
        <f t="shared" si="5"/>
        <v>74tidak ada</v>
      </c>
      <c r="AA183" s="1">
        <v>74</v>
      </c>
      <c r="AB183" s="1" t="s">
        <v>90</v>
      </c>
      <c r="AC183" s="1" t="s">
        <v>99</v>
      </c>
    </row>
    <row r="184" spans="26:29" x14ac:dyDescent="0.2">
      <c r="Z184" s="1" t="str">
        <f t="shared" si="5"/>
        <v>75ada</v>
      </c>
      <c r="AA184" s="1">
        <v>75</v>
      </c>
      <c r="AB184" s="1" t="s">
        <v>91</v>
      </c>
      <c r="AC184" s="1" t="s">
        <v>99</v>
      </c>
    </row>
    <row r="185" spans="26:29" x14ac:dyDescent="0.2">
      <c r="Z185" s="1" t="str">
        <f t="shared" si="5"/>
        <v>75tidak ada</v>
      </c>
      <c r="AA185" s="1">
        <v>75</v>
      </c>
      <c r="AB185" s="1" t="s">
        <v>90</v>
      </c>
      <c r="AC185" s="1" t="s">
        <v>99</v>
      </c>
    </row>
    <row r="186" spans="26:29" x14ac:dyDescent="0.2">
      <c r="Z186" s="1" t="str">
        <f t="shared" si="5"/>
        <v>76ada</v>
      </c>
      <c r="AA186" s="1">
        <v>76</v>
      </c>
      <c r="AB186" s="1" t="s">
        <v>91</v>
      </c>
      <c r="AC186" s="1" t="s">
        <v>99</v>
      </c>
    </row>
    <row r="187" spans="26:29" x14ac:dyDescent="0.2">
      <c r="Z187" s="1" t="str">
        <f t="shared" si="5"/>
        <v>76tidak ada</v>
      </c>
      <c r="AA187" s="1">
        <v>76</v>
      </c>
      <c r="AB187" s="1" t="s">
        <v>90</v>
      </c>
      <c r="AC187" s="1" t="s">
        <v>99</v>
      </c>
    </row>
    <row r="188" spans="26:29" x14ac:dyDescent="0.2">
      <c r="Z188" s="1" t="str">
        <f t="shared" si="5"/>
        <v>77ada</v>
      </c>
      <c r="AA188" s="1">
        <v>77</v>
      </c>
      <c r="AB188" s="1" t="s">
        <v>91</v>
      </c>
      <c r="AC188" s="1" t="s">
        <v>99</v>
      </c>
    </row>
    <row r="189" spans="26:29" x14ac:dyDescent="0.2">
      <c r="Z189" s="1" t="str">
        <f t="shared" si="5"/>
        <v>77tidak ada</v>
      </c>
      <c r="AA189" s="1">
        <v>77</v>
      </c>
      <c r="AB189" s="1" t="s">
        <v>90</v>
      </c>
      <c r="AC189" s="1" t="s">
        <v>99</v>
      </c>
    </row>
    <row r="190" spans="26:29" x14ac:dyDescent="0.2">
      <c r="Z190" s="1" t="str">
        <f t="shared" si="5"/>
        <v>78ada</v>
      </c>
      <c r="AA190" s="1">
        <v>78</v>
      </c>
      <c r="AB190" s="1" t="s">
        <v>91</v>
      </c>
      <c r="AC190" s="1" t="s">
        <v>99</v>
      </c>
    </row>
    <row r="191" spans="26:29" x14ac:dyDescent="0.2">
      <c r="Z191" s="1" t="str">
        <f t="shared" si="5"/>
        <v>78tidak ada</v>
      </c>
      <c r="AA191" s="1">
        <v>78</v>
      </c>
      <c r="AB191" s="1" t="s">
        <v>90</v>
      </c>
      <c r="AC191" s="1" t="s">
        <v>99</v>
      </c>
    </row>
    <row r="192" spans="26:29" x14ac:dyDescent="0.2">
      <c r="Z192" s="1" t="str">
        <f t="shared" si="5"/>
        <v>79ada</v>
      </c>
      <c r="AA192" s="1">
        <v>79</v>
      </c>
      <c r="AB192" s="1" t="s">
        <v>91</v>
      </c>
      <c r="AC192" s="1" t="s">
        <v>99</v>
      </c>
    </row>
    <row r="193" spans="26:29" x14ac:dyDescent="0.2">
      <c r="Z193" s="1" t="str">
        <f t="shared" ref="Z193:Z239" si="6">AA193&amp;AB193</f>
        <v>79tidak ada</v>
      </c>
      <c r="AA193" s="1">
        <v>79</v>
      </c>
      <c r="AB193" s="1" t="s">
        <v>90</v>
      </c>
      <c r="AC193" s="1" t="s">
        <v>99</v>
      </c>
    </row>
    <row r="194" spans="26:29" x14ac:dyDescent="0.2">
      <c r="Z194" s="1" t="str">
        <f t="shared" si="6"/>
        <v>7ada</v>
      </c>
      <c r="AA194" s="1">
        <v>7</v>
      </c>
      <c r="AB194" s="1" t="s">
        <v>91</v>
      </c>
      <c r="AC194" s="1" t="s">
        <v>89</v>
      </c>
    </row>
    <row r="195" spans="26:29" x14ac:dyDescent="0.2">
      <c r="Z195" s="1" t="str">
        <f t="shared" si="6"/>
        <v>7tidak ada</v>
      </c>
      <c r="AA195" s="1">
        <v>7</v>
      </c>
      <c r="AB195" s="1" t="s">
        <v>90</v>
      </c>
      <c r="AC195" s="1" t="s">
        <v>89</v>
      </c>
    </row>
    <row r="196" spans="26:29" x14ac:dyDescent="0.2">
      <c r="Z196" s="1" t="str">
        <f t="shared" si="6"/>
        <v>80ada</v>
      </c>
      <c r="AA196" s="1">
        <v>80</v>
      </c>
      <c r="AB196" s="1" t="s">
        <v>91</v>
      </c>
      <c r="AC196" s="1" t="s">
        <v>99</v>
      </c>
    </row>
    <row r="197" spans="26:29" x14ac:dyDescent="0.2">
      <c r="Z197" s="1" t="str">
        <f t="shared" si="6"/>
        <v>80tidak ada</v>
      </c>
      <c r="AA197" s="1">
        <v>80</v>
      </c>
      <c r="AB197" s="1" t="s">
        <v>90</v>
      </c>
      <c r="AC197" s="1" t="s">
        <v>99</v>
      </c>
    </row>
    <row r="198" spans="26:29" x14ac:dyDescent="0.2">
      <c r="Z198" s="1" t="str">
        <f t="shared" si="6"/>
        <v>81ada</v>
      </c>
      <c r="AA198" s="1">
        <v>81</v>
      </c>
      <c r="AB198" s="1" t="s">
        <v>91</v>
      </c>
      <c r="AC198" s="1" t="s">
        <v>99</v>
      </c>
    </row>
    <row r="199" spans="26:29" x14ac:dyDescent="0.2">
      <c r="Z199" s="1" t="str">
        <f t="shared" si="6"/>
        <v>81tidak ada</v>
      </c>
      <c r="AA199" s="1">
        <v>81</v>
      </c>
      <c r="AB199" s="1" t="s">
        <v>90</v>
      </c>
      <c r="AC199" s="1" t="s">
        <v>99</v>
      </c>
    </row>
    <row r="200" spans="26:29" x14ac:dyDescent="0.2">
      <c r="Z200" s="1" t="str">
        <f t="shared" si="6"/>
        <v>82ada</v>
      </c>
      <c r="AA200" s="1">
        <v>82</v>
      </c>
      <c r="AB200" s="1" t="s">
        <v>91</v>
      </c>
      <c r="AC200" s="1" t="s">
        <v>99</v>
      </c>
    </row>
    <row r="201" spans="26:29" x14ac:dyDescent="0.2">
      <c r="Z201" s="1" t="str">
        <f t="shared" si="6"/>
        <v>82tidak ada</v>
      </c>
      <c r="AA201" s="1">
        <v>82</v>
      </c>
      <c r="AB201" s="1" t="s">
        <v>90</v>
      </c>
      <c r="AC201" s="1" t="s">
        <v>99</v>
      </c>
    </row>
    <row r="202" spans="26:29" x14ac:dyDescent="0.2">
      <c r="Z202" s="1" t="str">
        <f t="shared" si="6"/>
        <v>83ada</v>
      </c>
      <c r="AA202" s="1">
        <v>83</v>
      </c>
      <c r="AB202" s="1" t="s">
        <v>91</v>
      </c>
      <c r="AC202" s="1" t="s">
        <v>99</v>
      </c>
    </row>
    <row r="203" spans="26:29" x14ac:dyDescent="0.2">
      <c r="Z203" s="1" t="str">
        <f t="shared" si="6"/>
        <v>83tidak ada</v>
      </c>
      <c r="AA203" s="1">
        <v>83</v>
      </c>
      <c r="AB203" s="1" t="s">
        <v>90</v>
      </c>
      <c r="AC203" s="1" t="s">
        <v>99</v>
      </c>
    </row>
    <row r="204" spans="26:29" x14ac:dyDescent="0.2">
      <c r="Z204" s="1" t="str">
        <f t="shared" si="6"/>
        <v>84ada</v>
      </c>
      <c r="AA204" s="1">
        <v>84</v>
      </c>
      <c r="AB204" s="1" t="s">
        <v>91</v>
      </c>
      <c r="AC204" s="1" t="s">
        <v>99</v>
      </c>
    </row>
    <row r="205" spans="26:29" x14ac:dyDescent="0.2">
      <c r="Z205" s="1" t="str">
        <f t="shared" si="6"/>
        <v>84tidak ada</v>
      </c>
      <c r="AA205" s="1">
        <v>84</v>
      </c>
      <c r="AB205" s="1" t="s">
        <v>90</v>
      </c>
      <c r="AC205" s="1" t="s">
        <v>99</v>
      </c>
    </row>
    <row r="206" spans="26:29" x14ac:dyDescent="0.2">
      <c r="Z206" s="1" t="str">
        <f t="shared" si="6"/>
        <v>85ada</v>
      </c>
      <c r="AA206" s="1">
        <v>85</v>
      </c>
      <c r="AB206" s="1" t="s">
        <v>91</v>
      </c>
      <c r="AC206" s="1" t="s">
        <v>99</v>
      </c>
    </row>
    <row r="207" spans="26:29" x14ac:dyDescent="0.2">
      <c r="Z207" s="1" t="str">
        <f t="shared" si="6"/>
        <v>85tidak ada</v>
      </c>
      <c r="AA207" s="1">
        <v>85</v>
      </c>
      <c r="AB207" s="1" t="s">
        <v>90</v>
      </c>
      <c r="AC207" s="1" t="s">
        <v>99</v>
      </c>
    </row>
    <row r="208" spans="26:29" x14ac:dyDescent="0.2">
      <c r="Z208" s="1" t="str">
        <f t="shared" si="6"/>
        <v>86ada</v>
      </c>
      <c r="AA208" s="1">
        <v>86</v>
      </c>
      <c r="AB208" s="1" t="s">
        <v>91</v>
      </c>
      <c r="AC208" s="1" t="s">
        <v>99</v>
      </c>
    </row>
    <row r="209" spans="26:29" x14ac:dyDescent="0.2">
      <c r="Z209" s="1" t="str">
        <f t="shared" si="6"/>
        <v>86tidak ada</v>
      </c>
      <c r="AA209" s="1">
        <v>86</v>
      </c>
      <c r="AB209" s="1" t="s">
        <v>90</v>
      </c>
      <c r="AC209" s="1" t="s">
        <v>99</v>
      </c>
    </row>
    <row r="210" spans="26:29" x14ac:dyDescent="0.2">
      <c r="Z210" s="1" t="str">
        <f t="shared" si="6"/>
        <v>87ada</v>
      </c>
      <c r="AA210" s="1">
        <v>87</v>
      </c>
      <c r="AB210" s="1" t="s">
        <v>91</v>
      </c>
      <c r="AC210" s="1" t="s">
        <v>99</v>
      </c>
    </row>
    <row r="211" spans="26:29" x14ac:dyDescent="0.2">
      <c r="Z211" s="1" t="str">
        <f t="shared" si="6"/>
        <v>87tidak ada</v>
      </c>
      <c r="AA211" s="1">
        <v>87</v>
      </c>
      <c r="AB211" s="1" t="s">
        <v>90</v>
      </c>
      <c r="AC211" s="1" t="s">
        <v>99</v>
      </c>
    </row>
    <row r="212" spans="26:29" x14ac:dyDescent="0.2">
      <c r="Z212" s="1" t="str">
        <f t="shared" si="6"/>
        <v>88ada</v>
      </c>
      <c r="AA212" s="1">
        <v>88</v>
      </c>
      <c r="AB212" s="1" t="s">
        <v>91</v>
      </c>
      <c r="AC212" s="1" t="s">
        <v>99</v>
      </c>
    </row>
    <row r="213" spans="26:29" x14ac:dyDescent="0.2">
      <c r="Z213" s="1" t="str">
        <f t="shared" si="6"/>
        <v>88tidak ada</v>
      </c>
      <c r="AA213" s="1">
        <v>88</v>
      </c>
      <c r="AB213" s="1" t="s">
        <v>90</v>
      </c>
      <c r="AC213" s="1" t="s">
        <v>99</v>
      </c>
    </row>
    <row r="214" spans="26:29" x14ac:dyDescent="0.2">
      <c r="Z214" s="1" t="str">
        <f t="shared" si="6"/>
        <v>89ada</v>
      </c>
      <c r="AA214" s="1">
        <v>89</v>
      </c>
      <c r="AB214" s="1" t="s">
        <v>91</v>
      </c>
      <c r="AC214" s="1" t="s">
        <v>99</v>
      </c>
    </row>
    <row r="215" spans="26:29" x14ac:dyDescent="0.2">
      <c r="Z215" s="1" t="str">
        <f t="shared" si="6"/>
        <v>89tidak ada</v>
      </c>
      <c r="AA215" s="1">
        <v>89</v>
      </c>
      <c r="AB215" s="1" t="s">
        <v>90</v>
      </c>
      <c r="AC215" s="1" t="s">
        <v>99</v>
      </c>
    </row>
    <row r="216" spans="26:29" x14ac:dyDescent="0.2">
      <c r="Z216" s="1" t="str">
        <f t="shared" si="6"/>
        <v>8ada</v>
      </c>
      <c r="AA216" s="1">
        <v>8</v>
      </c>
      <c r="AB216" s="1" t="s">
        <v>91</v>
      </c>
      <c r="AC216" s="1" t="s">
        <v>89</v>
      </c>
    </row>
    <row r="217" spans="26:29" x14ac:dyDescent="0.2">
      <c r="Z217" s="1" t="str">
        <f t="shared" si="6"/>
        <v>8tidak ada</v>
      </c>
      <c r="AA217" s="1">
        <v>8</v>
      </c>
      <c r="AB217" s="1" t="s">
        <v>90</v>
      </c>
      <c r="AC217" s="1" t="s">
        <v>89</v>
      </c>
    </row>
    <row r="218" spans="26:29" x14ac:dyDescent="0.2">
      <c r="Z218" s="1" t="str">
        <f t="shared" si="6"/>
        <v>90ada</v>
      </c>
      <c r="AA218" s="1">
        <v>90</v>
      </c>
      <c r="AB218" s="1" t="s">
        <v>91</v>
      </c>
      <c r="AC218" s="1" t="s">
        <v>92</v>
      </c>
    </row>
    <row r="219" spans="26:29" x14ac:dyDescent="0.2">
      <c r="Z219" s="1" t="str">
        <f t="shared" si="6"/>
        <v>90tidak ada</v>
      </c>
      <c r="AA219" s="1">
        <v>90</v>
      </c>
      <c r="AB219" s="1" t="s">
        <v>90</v>
      </c>
      <c r="AC219" s="1" t="s">
        <v>92</v>
      </c>
    </row>
    <row r="220" spans="26:29" x14ac:dyDescent="0.2">
      <c r="Z220" s="1" t="str">
        <f t="shared" si="6"/>
        <v>91ada</v>
      </c>
      <c r="AA220" s="1">
        <v>91</v>
      </c>
      <c r="AB220" s="1" t="s">
        <v>91</v>
      </c>
      <c r="AC220" s="1" t="s">
        <v>92</v>
      </c>
    </row>
    <row r="221" spans="26:29" x14ac:dyDescent="0.2">
      <c r="Z221" s="1" t="str">
        <f t="shared" si="6"/>
        <v>91tidak ada</v>
      </c>
      <c r="AA221" s="1">
        <v>91</v>
      </c>
      <c r="AB221" s="1" t="s">
        <v>90</v>
      </c>
      <c r="AC221" s="1" t="s">
        <v>92</v>
      </c>
    </row>
    <row r="222" spans="26:29" x14ac:dyDescent="0.2">
      <c r="Z222" s="1" t="str">
        <f t="shared" si="6"/>
        <v>92ada</v>
      </c>
      <c r="AA222" s="1">
        <v>92</v>
      </c>
      <c r="AB222" s="1" t="s">
        <v>91</v>
      </c>
      <c r="AC222" s="1" t="s">
        <v>92</v>
      </c>
    </row>
    <row r="223" spans="26:29" x14ac:dyDescent="0.2">
      <c r="Z223" s="1" t="str">
        <f t="shared" si="6"/>
        <v>92tidak ada</v>
      </c>
      <c r="AA223" s="1">
        <v>92</v>
      </c>
      <c r="AB223" s="1" t="s">
        <v>90</v>
      </c>
      <c r="AC223" s="1" t="s">
        <v>92</v>
      </c>
    </row>
    <row r="224" spans="26:29" x14ac:dyDescent="0.2">
      <c r="Z224" s="1" t="str">
        <f t="shared" si="6"/>
        <v>93ada</v>
      </c>
      <c r="AA224" s="1">
        <v>93</v>
      </c>
      <c r="AB224" s="1" t="s">
        <v>91</v>
      </c>
      <c r="AC224" s="1" t="s">
        <v>92</v>
      </c>
    </row>
    <row r="225" spans="26:29" x14ac:dyDescent="0.2">
      <c r="Z225" s="1" t="str">
        <f t="shared" si="6"/>
        <v>93tidak ada</v>
      </c>
      <c r="AA225" s="1">
        <v>93</v>
      </c>
      <c r="AB225" s="1" t="s">
        <v>90</v>
      </c>
      <c r="AC225" s="1" t="s">
        <v>92</v>
      </c>
    </row>
    <row r="226" spans="26:29" x14ac:dyDescent="0.2">
      <c r="Z226" s="1" t="str">
        <f t="shared" si="6"/>
        <v>94ada</v>
      </c>
      <c r="AA226" s="1">
        <v>94</v>
      </c>
      <c r="AB226" s="1" t="s">
        <v>91</v>
      </c>
      <c r="AC226" s="1" t="s">
        <v>92</v>
      </c>
    </row>
    <row r="227" spans="26:29" x14ac:dyDescent="0.2">
      <c r="Z227" s="1" t="str">
        <f t="shared" si="6"/>
        <v>94tidak ada</v>
      </c>
      <c r="AA227" s="1">
        <v>94</v>
      </c>
      <c r="AB227" s="1" t="s">
        <v>90</v>
      </c>
      <c r="AC227" s="1" t="s">
        <v>92</v>
      </c>
    </row>
    <row r="228" spans="26:29" x14ac:dyDescent="0.2">
      <c r="Z228" s="1" t="str">
        <f t="shared" si="6"/>
        <v>95ada</v>
      </c>
      <c r="AA228" s="1">
        <v>95</v>
      </c>
      <c r="AB228" s="1" t="s">
        <v>91</v>
      </c>
      <c r="AC228" s="1" t="s">
        <v>92</v>
      </c>
    </row>
    <row r="229" spans="26:29" x14ac:dyDescent="0.2">
      <c r="Z229" s="1" t="str">
        <f t="shared" si="6"/>
        <v>95tidak ada</v>
      </c>
      <c r="AA229" s="1">
        <v>95</v>
      </c>
      <c r="AB229" s="1" t="s">
        <v>90</v>
      </c>
      <c r="AC229" s="1" t="s">
        <v>92</v>
      </c>
    </row>
    <row r="230" spans="26:29" x14ac:dyDescent="0.2">
      <c r="Z230" s="1" t="str">
        <f t="shared" si="6"/>
        <v>96ada</v>
      </c>
      <c r="AA230" s="1">
        <v>96</v>
      </c>
      <c r="AB230" s="1" t="s">
        <v>91</v>
      </c>
      <c r="AC230" s="1" t="s">
        <v>92</v>
      </c>
    </row>
    <row r="231" spans="26:29" x14ac:dyDescent="0.2">
      <c r="Z231" s="1" t="str">
        <f t="shared" si="6"/>
        <v>96tidak ada</v>
      </c>
      <c r="AA231" s="1">
        <v>96</v>
      </c>
      <c r="AB231" s="1" t="s">
        <v>90</v>
      </c>
      <c r="AC231" s="1" t="s">
        <v>92</v>
      </c>
    </row>
    <row r="232" spans="26:29" x14ac:dyDescent="0.2">
      <c r="Z232" s="1" t="str">
        <f t="shared" si="6"/>
        <v>97ada</v>
      </c>
      <c r="AA232" s="1">
        <v>97</v>
      </c>
      <c r="AB232" s="1" t="s">
        <v>91</v>
      </c>
      <c r="AC232" s="1" t="s">
        <v>92</v>
      </c>
    </row>
    <row r="233" spans="26:29" x14ac:dyDescent="0.2">
      <c r="Z233" s="1" t="str">
        <f t="shared" si="6"/>
        <v>97tidak ada</v>
      </c>
      <c r="AA233" s="1">
        <v>97</v>
      </c>
      <c r="AB233" s="1" t="s">
        <v>90</v>
      </c>
      <c r="AC233" s="1" t="s">
        <v>92</v>
      </c>
    </row>
    <row r="234" spans="26:29" x14ac:dyDescent="0.2">
      <c r="Z234" s="1" t="str">
        <f t="shared" si="6"/>
        <v>98ada</v>
      </c>
      <c r="AA234" s="1">
        <v>98</v>
      </c>
      <c r="AB234" s="1" t="s">
        <v>91</v>
      </c>
      <c r="AC234" s="1" t="s">
        <v>92</v>
      </c>
    </row>
    <row r="235" spans="26:29" x14ac:dyDescent="0.2">
      <c r="Z235" s="1" t="str">
        <f t="shared" si="6"/>
        <v>98tidak ada</v>
      </c>
      <c r="AA235" s="1">
        <v>98</v>
      </c>
      <c r="AB235" s="1" t="s">
        <v>90</v>
      </c>
      <c r="AC235" s="1" t="s">
        <v>92</v>
      </c>
    </row>
    <row r="236" spans="26:29" x14ac:dyDescent="0.2">
      <c r="Z236" s="1" t="str">
        <f t="shared" si="6"/>
        <v>99ada</v>
      </c>
      <c r="AA236" s="1">
        <v>99</v>
      </c>
      <c r="AB236" s="1" t="s">
        <v>91</v>
      </c>
      <c r="AC236" s="1" t="s">
        <v>92</v>
      </c>
    </row>
    <row r="237" spans="26:29" x14ac:dyDescent="0.2">
      <c r="Z237" s="1" t="str">
        <f t="shared" si="6"/>
        <v>99tidak ada</v>
      </c>
      <c r="AA237" s="1">
        <v>99</v>
      </c>
      <c r="AB237" s="1" t="s">
        <v>90</v>
      </c>
      <c r="AC237" s="1" t="s">
        <v>92</v>
      </c>
    </row>
    <row r="238" spans="26:29" x14ac:dyDescent="0.2">
      <c r="Z238" s="1" t="str">
        <f t="shared" si="6"/>
        <v>9ada</v>
      </c>
      <c r="AA238" s="1">
        <v>9</v>
      </c>
      <c r="AB238" s="1" t="s">
        <v>91</v>
      </c>
      <c r="AC238" s="1" t="s">
        <v>89</v>
      </c>
    </row>
    <row r="239" spans="26:29" x14ac:dyDescent="0.2">
      <c r="Z239" s="1" t="str">
        <f t="shared" si="6"/>
        <v>9tidak ada</v>
      </c>
      <c r="AA239" s="1">
        <v>9</v>
      </c>
      <c r="AB239" s="1" t="s">
        <v>90</v>
      </c>
      <c r="AC239" s="1" t="s">
        <v>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6"/>
  <sheetViews>
    <sheetView view="pageBreakPreview" zoomScale="90" zoomScaleNormal="100" zoomScaleSheetLayoutView="90" workbookViewId="0"/>
  </sheetViews>
  <sheetFormatPr defaultColWidth="9.140625" defaultRowHeight="12.75" x14ac:dyDescent="0.2"/>
  <cols>
    <col min="1" max="1" width="6" style="273" customWidth="1"/>
    <col min="2" max="2" width="26.140625" style="273" customWidth="1"/>
    <col min="3" max="3" width="1.7109375" style="273" customWidth="1"/>
    <col min="4" max="4" width="53.42578125" style="273" customWidth="1"/>
    <col min="5" max="5" width="2.7109375" style="273" customWidth="1"/>
    <col min="6" max="16384" width="9.140625" style="273"/>
  </cols>
  <sheetData>
    <row r="1" spans="1:7" ht="13.5" thickTop="1" x14ac:dyDescent="0.2">
      <c r="A1" s="275"/>
      <c r="B1" s="276"/>
      <c r="C1" s="276"/>
      <c r="D1" s="276"/>
      <c r="E1" s="277"/>
      <c r="F1" s="278"/>
      <c r="G1" s="278"/>
    </row>
    <row r="2" spans="1:7" ht="72" customHeight="1" x14ac:dyDescent="0.2">
      <c r="A2" s="279"/>
      <c r="B2" s="280"/>
      <c r="C2" s="280"/>
      <c r="D2" s="280"/>
      <c r="E2" s="281"/>
      <c r="F2" s="278"/>
      <c r="G2" s="278"/>
    </row>
    <row r="3" spans="1:7" x14ac:dyDescent="0.2">
      <c r="A3" s="279"/>
      <c r="B3" s="280"/>
      <c r="C3" s="280"/>
      <c r="D3" s="280"/>
      <c r="E3" s="281"/>
      <c r="F3" s="278"/>
      <c r="G3" s="278"/>
    </row>
    <row r="4" spans="1:7" x14ac:dyDescent="0.2">
      <c r="A4" s="279"/>
      <c r="B4" s="280"/>
      <c r="C4" s="280"/>
      <c r="D4" s="280"/>
      <c r="E4" s="281"/>
      <c r="F4" s="278"/>
      <c r="G4" s="278"/>
    </row>
    <row r="5" spans="1:7" ht="68.25" customHeight="1" x14ac:dyDescent="0.2">
      <c r="A5" s="279"/>
      <c r="B5" s="280"/>
      <c r="C5" s="280"/>
      <c r="D5" s="280"/>
      <c r="E5" s="281"/>
      <c r="F5" s="278"/>
      <c r="G5" s="278"/>
    </row>
    <row r="6" spans="1:7" ht="18.75" x14ac:dyDescent="0.2">
      <c r="A6" s="957" t="s">
        <v>36</v>
      </c>
      <c r="B6" s="958"/>
      <c r="C6" s="958"/>
      <c r="D6" s="958"/>
      <c r="E6" s="959"/>
      <c r="F6" s="278"/>
      <c r="G6" s="278"/>
    </row>
    <row r="7" spans="1:7" ht="18.75" x14ac:dyDescent="0.2">
      <c r="A7" s="957" t="s">
        <v>0</v>
      </c>
      <c r="B7" s="958"/>
      <c r="C7" s="958"/>
      <c r="D7" s="958"/>
      <c r="E7" s="959"/>
      <c r="F7" s="278"/>
      <c r="G7" s="278"/>
    </row>
    <row r="8" spans="1:7" x14ac:dyDescent="0.2">
      <c r="A8" s="282"/>
      <c r="B8" s="283"/>
      <c r="C8" s="283"/>
      <c r="D8" s="283"/>
      <c r="E8" s="284"/>
      <c r="F8" s="278"/>
      <c r="G8" s="278"/>
    </row>
    <row r="9" spans="1:7" ht="93.75" customHeight="1" x14ac:dyDescent="0.2">
      <c r="A9" s="282"/>
      <c r="B9" s="283"/>
      <c r="C9" s="283"/>
      <c r="D9" s="283"/>
      <c r="E9" s="284"/>
      <c r="F9" s="278"/>
      <c r="G9" s="278"/>
    </row>
    <row r="10" spans="1:7" ht="15.75" x14ac:dyDescent="0.2">
      <c r="A10" s="960" t="s">
        <v>37</v>
      </c>
      <c r="B10" s="961"/>
      <c r="C10" s="961"/>
      <c r="D10" s="961"/>
      <c r="E10" s="962"/>
      <c r="F10" s="278"/>
      <c r="G10" s="278"/>
    </row>
    <row r="11" spans="1:7" ht="6.75" customHeight="1" x14ac:dyDescent="0.2">
      <c r="A11" s="285"/>
      <c r="B11" s="286"/>
      <c r="C11" s="286"/>
      <c r="D11" s="286"/>
      <c r="E11" s="287"/>
      <c r="F11" s="278"/>
      <c r="G11" s="278"/>
    </row>
    <row r="12" spans="1:7" ht="15.75" x14ac:dyDescent="0.2">
      <c r="A12" s="960" t="str">
        <f>PERIODE!E22</f>
        <v>01 Januari s/d 31 Desember 2021</v>
      </c>
      <c r="B12" s="961"/>
      <c r="C12" s="961"/>
      <c r="D12" s="961"/>
      <c r="E12" s="962"/>
      <c r="F12" s="278"/>
      <c r="G12" s="278"/>
    </row>
    <row r="13" spans="1:7" ht="15.75" x14ac:dyDescent="0.2">
      <c r="A13" s="285"/>
      <c r="B13" s="286"/>
      <c r="C13" s="286"/>
      <c r="D13" s="286"/>
      <c r="E13" s="287"/>
      <c r="F13" s="278"/>
      <c r="G13" s="278"/>
    </row>
    <row r="14" spans="1:7" x14ac:dyDescent="0.2">
      <c r="A14" s="282"/>
      <c r="B14" s="283"/>
      <c r="C14" s="283"/>
      <c r="D14" s="283"/>
      <c r="E14" s="284"/>
      <c r="F14" s="278"/>
      <c r="G14" s="278"/>
    </row>
    <row r="15" spans="1:7" ht="20.100000000000001" customHeight="1" x14ac:dyDescent="0.2">
      <c r="A15" s="282"/>
      <c r="B15" s="288" t="s">
        <v>52</v>
      </c>
      <c r="C15" s="288" t="s">
        <v>16</v>
      </c>
      <c r="D15" s="289" t="str">
        <f>'DATA SKP'!E5</f>
        <v>Sirajudin, S.Pd.</v>
      </c>
      <c r="E15" s="290"/>
      <c r="F15" s="278"/>
      <c r="G15" s="278"/>
    </row>
    <row r="16" spans="1:7" ht="20.100000000000001" customHeight="1" x14ac:dyDescent="0.2">
      <c r="A16" s="282"/>
      <c r="B16" s="288" t="s">
        <v>3</v>
      </c>
      <c r="C16" s="288" t="s">
        <v>16</v>
      </c>
      <c r="D16" s="289" t="str">
        <f>'DATA SKP'!E6</f>
        <v>19730115 200710 1 001</v>
      </c>
      <c r="E16" s="291"/>
      <c r="F16" s="278"/>
      <c r="G16" s="278"/>
    </row>
    <row r="17" spans="1:7" ht="20.100000000000001" customHeight="1" x14ac:dyDescent="0.2">
      <c r="A17" s="282"/>
      <c r="B17" s="288" t="s">
        <v>53</v>
      </c>
      <c r="C17" s="288" t="s">
        <v>16</v>
      </c>
      <c r="D17" s="289" t="str">
        <f>'DATA SKP'!E7</f>
        <v>Penata Muda, Gol. III/a</v>
      </c>
      <c r="E17" s="291"/>
      <c r="F17" s="278"/>
      <c r="G17" s="278"/>
    </row>
    <row r="18" spans="1:7" ht="20.100000000000001" customHeight="1" x14ac:dyDescent="0.2">
      <c r="A18" s="282"/>
      <c r="B18" s="288" t="s">
        <v>4</v>
      </c>
      <c r="C18" s="288" t="s">
        <v>16</v>
      </c>
      <c r="D18" s="289" t="str">
        <f>'DATA SKP'!E8</f>
        <v>Guru Pertama</v>
      </c>
      <c r="E18" s="291"/>
      <c r="F18" s="278"/>
      <c r="G18" s="278"/>
    </row>
    <row r="19" spans="1:7" ht="20.100000000000001" customHeight="1" x14ac:dyDescent="0.2">
      <c r="A19" s="282"/>
      <c r="B19" s="288" t="s">
        <v>5</v>
      </c>
      <c r="C19" s="288" t="s">
        <v>16</v>
      </c>
      <c r="D19" s="289" t="str">
        <f>'DATA SKP'!E9</f>
        <v>MTs Negeri 5 Sleman</v>
      </c>
      <c r="E19" s="292"/>
      <c r="F19" s="278"/>
      <c r="G19" s="278"/>
    </row>
    <row r="20" spans="1:7" x14ac:dyDescent="0.2">
      <c r="A20" s="282"/>
      <c r="B20" s="283"/>
      <c r="C20" s="283"/>
      <c r="D20" s="283"/>
      <c r="E20" s="284"/>
      <c r="F20" s="278"/>
      <c r="G20" s="278"/>
    </row>
    <row r="21" spans="1:7" ht="154.5" customHeight="1" x14ac:dyDescent="0.2">
      <c r="A21" s="957"/>
      <c r="B21" s="958"/>
      <c r="C21" s="958"/>
      <c r="D21" s="958"/>
      <c r="E21" s="959"/>
      <c r="F21" s="278"/>
      <c r="G21" s="278"/>
    </row>
    <row r="22" spans="1:7" ht="16.5" x14ac:dyDescent="0.2">
      <c r="A22" s="954" t="s">
        <v>623</v>
      </c>
      <c r="B22" s="955"/>
      <c r="C22" s="955"/>
      <c r="D22" s="955"/>
      <c r="E22" s="956"/>
      <c r="F22" s="278"/>
      <c r="G22" s="278"/>
    </row>
    <row r="23" spans="1:7" ht="16.5" x14ac:dyDescent="0.2">
      <c r="A23" s="954" t="str">
        <f>"TAHUN "&amp;PERIODE!E23</f>
        <v>TAHUN 2021</v>
      </c>
      <c r="B23" s="955"/>
      <c r="C23" s="955"/>
      <c r="D23" s="955"/>
      <c r="E23" s="956"/>
      <c r="F23" s="278"/>
      <c r="G23" s="278"/>
    </row>
    <row r="24" spans="1:7" ht="13.5" thickBot="1" x14ac:dyDescent="0.25">
      <c r="A24" s="293"/>
      <c r="B24" s="294"/>
      <c r="C24" s="294"/>
      <c r="D24" s="294"/>
      <c r="E24" s="295"/>
      <c r="F24" s="278"/>
      <c r="G24" s="278"/>
    </row>
    <row r="25" spans="1:7" ht="13.5" thickTop="1" x14ac:dyDescent="0.2">
      <c r="A25" s="278"/>
      <c r="B25" s="278"/>
      <c r="C25" s="278"/>
      <c r="D25" s="278"/>
      <c r="E25" s="278"/>
      <c r="F25" s="278"/>
      <c r="G25" s="278"/>
    </row>
    <row r="26" spans="1:7" x14ac:dyDescent="0.2">
      <c r="A26" s="278"/>
      <c r="B26" s="278"/>
      <c r="C26" s="278"/>
      <c r="D26" s="278"/>
      <c r="E26" s="278"/>
      <c r="F26" s="278"/>
      <c r="G26" s="278"/>
    </row>
  </sheetData>
  <sheetProtection algorithmName="SHA-512" hashValue="mubbimWcBil/1f8GSQ4/c1aF6xYpBdHGDRs/ivc4dXnprlfAWeeKFcFMorJjS2ZszYmQfw1QN0+K1JaZEjeHsQ==" saltValue="6BK+RM4dNINIBh+b81wEXg==" spinCount="100000" sheet="1" formatColumns="0" formatRows="0"/>
  <mergeCells count="7">
    <mergeCell ref="A23:E23"/>
    <mergeCell ref="A6:E6"/>
    <mergeCell ref="A7:E7"/>
    <mergeCell ref="A10:E10"/>
    <mergeCell ref="A12:E12"/>
    <mergeCell ref="A21:E21"/>
    <mergeCell ref="A22:E22"/>
  </mergeCells>
  <pageMargins left="0.70866141732283472" right="0.51181102362204722" top="0.74803149606299213" bottom="0.74803149606299213" header="0.31496062992125984" footer="0.31496062992125984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45"/>
  <sheetViews>
    <sheetView showGridLines="0" view="pageBreakPreview" zoomScale="90" zoomScaleNormal="100" zoomScaleSheetLayoutView="90" workbookViewId="0">
      <selection activeCell="E6" sqref="E6:F6"/>
    </sheetView>
  </sheetViews>
  <sheetFormatPr defaultColWidth="0" defaultRowHeight="15.75" x14ac:dyDescent="0.25"/>
  <cols>
    <col min="1" max="1" width="9.140625" style="220" customWidth="1"/>
    <col min="2" max="2" width="4.85546875" style="220" customWidth="1"/>
    <col min="3" max="3" width="3.85546875" style="220" customWidth="1"/>
    <col min="4" max="4" width="29.42578125" style="220" customWidth="1"/>
    <col min="5" max="5" width="31.5703125" style="220" customWidth="1"/>
    <col min="6" max="6" width="21" style="220" customWidth="1"/>
    <col min="7" max="7" width="9" style="220" hidden="1" customWidth="1"/>
    <col min="8" max="8" width="3" style="220" hidden="1" customWidth="1"/>
    <col min="9" max="9" width="5.85546875" style="220" hidden="1" customWidth="1"/>
    <col min="10" max="10" width="6.42578125" style="220" customWidth="1"/>
    <col min="11" max="12" width="9.7109375" style="220" customWidth="1"/>
    <col min="13" max="20" width="9.7109375" style="220" hidden="1" customWidth="1"/>
    <col min="21" max="21" width="19.140625" style="220" hidden="1" customWidth="1"/>
    <col min="22" max="22" width="9.7109375" style="220" hidden="1" customWidth="1"/>
    <col min="23" max="26" width="9.140625" style="220" hidden="1" customWidth="1"/>
    <col min="27" max="27" width="39" style="220" hidden="1" customWidth="1"/>
    <col min="28" max="28" width="16.42578125" style="220" hidden="1" customWidth="1"/>
    <col min="29" max="41" width="0" style="220" hidden="1" customWidth="1"/>
    <col min="42" max="16384" width="9.140625" style="220" hidden="1"/>
  </cols>
  <sheetData>
    <row r="1" spans="1:41" ht="20.25" customHeight="1" x14ac:dyDescent="0.25">
      <c r="A1" s="373"/>
      <c r="B1" s="964" t="s">
        <v>54</v>
      </c>
      <c r="C1" s="965"/>
      <c r="D1" s="965"/>
      <c r="E1" s="965"/>
      <c r="F1" s="965"/>
      <c r="G1" s="965"/>
      <c r="H1" s="965"/>
      <c r="I1" s="965"/>
      <c r="J1" s="373"/>
      <c r="K1" s="373"/>
      <c r="L1" s="373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</row>
    <row r="2" spans="1:41" ht="18" x14ac:dyDescent="0.25">
      <c r="A2" s="373"/>
      <c r="B2" s="265"/>
      <c r="C2" s="266"/>
      <c r="D2" s="267" t="s">
        <v>55</v>
      </c>
      <c r="E2" s="267" t="str">
        <f>": "&amp;E9</f>
        <v>: MTs Negeri 5 Sleman</v>
      </c>
      <c r="F2" s="266"/>
      <c r="G2" s="270"/>
      <c r="H2" s="270"/>
      <c r="I2" s="270"/>
      <c r="J2" s="373"/>
      <c r="K2" s="373"/>
      <c r="L2" s="373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</row>
    <row r="3" spans="1:41" ht="27.75" customHeight="1" x14ac:dyDescent="0.25">
      <c r="A3" s="223"/>
      <c r="B3" s="223"/>
      <c r="C3" s="223"/>
      <c r="D3" s="224" t="s">
        <v>37</v>
      </c>
      <c r="E3" s="225" t="str">
        <f>": "&amp;PERIODE!E6</f>
        <v>: 01 Januari s.d. 30 Juni 2021</v>
      </c>
      <c r="F3" s="225"/>
      <c r="G3" s="223"/>
      <c r="H3" s="223"/>
      <c r="I3" s="223"/>
      <c r="J3" s="223"/>
      <c r="K3" s="373"/>
      <c r="L3" s="373"/>
      <c r="Q3" s="221"/>
      <c r="R3" s="226" t="s">
        <v>312</v>
      </c>
      <c r="S3" s="227" t="s">
        <v>313</v>
      </c>
      <c r="T3" s="226" t="s">
        <v>314</v>
      </c>
      <c r="U3" s="226" t="s">
        <v>315</v>
      </c>
      <c r="V3" s="226" t="s">
        <v>316</v>
      </c>
      <c r="W3" s="226" t="s">
        <v>317</v>
      </c>
      <c r="X3" s="226" t="s">
        <v>318</v>
      </c>
      <c r="Y3" s="228" t="s">
        <v>319</v>
      </c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</row>
    <row r="4" spans="1:41" ht="20.25" customHeight="1" x14ac:dyDescent="0.25">
      <c r="A4" s="223"/>
      <c r="B4" s="229">
        <v>1</v>
      </c>
      <c r="C4" s="230"/>
      <c r="D4" s="966" t="s">
        <v>38</v>
      </c>
      <c r="E4" s="966"/>
      <c r="F4" s="231"/>
      <c r="G4" s="232"/>
      <c r="H4" s="232"/>
      <c r="I4" s="233"/>
      <c r="J4" s="374"/>
      <c r="K4" s="375"/>
      <c r="L4" s="375"/>
      <c r="M4" s="234"/>
      <c r="N4" s="234"/>
      <c r="O4" s="234"/>
      <c r="Q4" s="235" t="s">
        <v>92</v>
      </c>
      <c r="R4" s="236">
        <f>((50-3-5)*100%)/4</f>
        <v>10.5</v>
      </c>
      <c r="S4" s="236">
        <f>((50-(3+4)-5)*100%)/4</f>
        <v>9.5</v>
      </c>
      <c r="T4" s="236">
        <f>((100-(3+6)-10)*100%)/4</f>
        <v>20.25</v>
      </c>
      <c r="U4" s="236">
        <f>((100-(4+8)-10)*100%)/4</f>
        <v>19.5</v>
      </c>
      <c r="V4" s="236">
        <f>((150-(12+4)-15)*100%)/4</f>
        <v>29.75</v>
      </c>
      <c r="W4" s="236">
        <f>((150-(12+4)-15)*100%)/4</f>
        <v>29.75</v>
      </c>
      <c r="X4" s="236">
        <f>((150-(12+5)-15)*100%)/4</f>
        <v>29.5</v>
      </c>
      <c r="Y4" s="236">
        <f>((200-(20+5)-20)*100%)/4</f>
        <v>38.75</v>
      </c>
      <c r="Z4" s="221"/>
      <c r="AA4" s="221">
        <f>Y4*4</f>
        <v>155</v>
      </c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</row>
    <row r="5" spans="1:41" ht="24" customHeight="1" x14ac:dyDescent="0.25">
      <c r="A5" s="223"/>
      <c r="B5" s="237"/>
      <c r="C5" s="238" t="s">
        <v>23</v>
      </c>
      <c r="D5" s="239" t="s">
        <v>2</v>
      </c>
      <c r="E5" s="967" t="s">
        <v>697</v>
      </c>
      <c r="F5" s="968"/>
      <c r="G5" s="240"/>
      <c r="H5" s="240"/>
      <c r="I5" s="269"/>
      <c r="J5" s="418"/>
      <c r="K5" s="419"/>
      <c r="L5" s="419"/>
      <c r="M5" s="241"/>
      <c r="N5" s="241"/>
      <c r="O5" s="24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</row>
    <row r="6" spans="1:41" ht="24" customHeight="1" x14ac:dyDescent="0.25">
      <c r="A6" s="223"/>
      <c r="B6" s="237"/>
      <c r="C6" s="238" t="s">
        <v>39</v>
      </c>
      <c r="D6" s="239" t="s">
        <v>3</v>
      </c>
      <c r="E6" s="1506" t="s">
        <v>698</v>
      </c>
      <c r="F6" s="969"/>
      <c r="G6" s="240"/>
      <c r="H6" s="240"/>
      <c r="I6" s="269"/>
      <c r="J6" s="418"/>
      <c r="K6" s="419"/>
      <c r="L6" s="419"/>
      <c r="M6" s="241"/>
      <c r="N6" s="241"/>
      <c r="O6" s="24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42" t="s">
        <v>15</v>
      </c>
      <c r="AB6" s="242" t="s">
        <v>15</v>
      </c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</row>
    <row r="7" spans="1:41" ht="24" customHeight="1" x14ac:dyDescent="0.25">
      <c r="A7" s="223"/>
      <c r="B7" s="243">
        <f>IF(E7=AA7,R4,IF(E7=AA8,S4,IF(E7=AA9,T4,IF(E7=AA10,U4,IF(E7=AA11,V4,IF(E7=AA12,W4,IF(E7=AA13,X4,IF(E7=AA14,Y4,"-"))))))))</f>
        <v>10.5</v>
      </c>
      <c r="C7" s="238" t="s">
        <v>40</v>
      </c>
      <c r="D7" s="239" t="s">
        <v>320</v>
      </c>
      <c r="E7" s="967" t="s">
        <v>324</v>
      </c>
      <c r="F7" s="968"/>
      <c r="G7" s="240"/>
      <c r="H7" s="240"/>
      <c r="I7" s="269"/>
      <c r="J7" s="418"/>
      <c r="K7" s="419"/>
      <c r="L7" s="419"/>
      <c r="M7" s="241"/>
      <c r="N7" s="241"/>
      <c r="O7" s="241"/>
      <c r="Q7" s="221"/>
      <c r="R7" s="221"/>
      <c r="S7" s="221"/>
      <c r="T7" s="221"/>
      <c r="U7" s="244" t="s">
        <v>203</v>
      </c>
      <c r="V7" s="221"/>
      <c r="W7" s="245" t="s">
        <v>322</v>
      </c>
      <c r="X7" s="245"/>
      <c r="Y7" s="245"/>
      <c r="Z7" s="245" t="s">
        <v>323</v>
      </c>
      <c r="AA7" s="245" t="s">
        <v>324</v>
      </c>
      <c r="AB7" s="245" t="s">
        <v>322</v>
      </c>
      <c r="AC7" s="245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</row>
    <row r="8" spans="1:41" ht="24" customHeight="1" x14ac:dyDescent="0.25">
      <c r="A8" s="223"/>
      <c r="B8" s="237"/>
      <c r="C8" s="238" t="s">
        <v>41</v>
      </c>
      <c r="D8" s="239" t="s">
        <v>42</v>
      </c>
      <c r="E8" s="368" t="str">
        <f>VLOOKUP(E7,$AA$6:$AB$15,2,)</f>
        <v>Guru Pertama</v>
      </c>
      <c r="F8" s="246" t="s">
        <v>203</v>
      </c>
      <c r="G8" s="247" t="str">
        <f>F8</f>
        <v>Guru</v>
      </c>
      <c r="H8" s="247"/>
      <c r="I8" s="248"/>
      <c r="J8" s="418"/>
      <c r="K8" s="419"/>
      <c r="L8" s="419"/>
      <c r="M8" s="241"/>
      <c r="N8" s="241"/>
      <c r="O8" s="241"/>
      <c r="Q8" s="221"/>
      <c r="R8" s="221"/>
      <c r="S8" s="221"/>
      <c r="T8" s="221"/>
      <c r="U8" s="244" t="s">
        <v>58</v>
      </c>
      <c r="V8" s="221"/>
      <c r="W8" s="245" t="s">
        <v>322</v>
      </c>
      <c r="X8" s="245"/>
      <c r="Y8" s="245"/>
      <c r="Z8" s="245" t="s">
        <v>325</v>
      </c>
      <c r="AA8" s="245" t="s">
        <v>326</v>
      </c>
      <c r="AB8" s="245" t="s">
        <v>322</v>
      </c>
      <c r="AC8" s="245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</row>
    <row r="9" spans="1:41" ht="24" customHeight="1" x14ac:dyDescent="0.25">
      <c r="A9" s="223"/>
      <c r="B9" s="249"/>
      <c r="C9" s="238" t="s">
        <v>43</v>
      </c>
      <c r="D9" s="239" t="s">
        <v>44</v>
      </c>
      <c r="E9" s="967" t="s">
        <v>327</v>
      </c>
      <c r="F9" s="968"/>
      <c r="G9" s="240"/>
      <c r="H9" s="240"/>
      <c r="I9" s="269"/>
      <c r="J9" s="418"/>
      <c r="K9" s="419"/>
      <c r="L9" s="419"/>
      <c r="M9" s="241"/>
      <c r="N9" s="241"/>
      <c r="O9" s="241"/>
      <c r="Q9" s="221"/>
      <c r="R9" s="221"/>
      <c r="S9" s="221"/>
      <c r="T9" s="221"/>
      <c r="U9" s="244" t="s">
        <v>328</v>
      </c>
      <c r="V9" s="221"/>
      <c r="W9" s="245" t="s">
        <v>329</v>
      </c>
      <c r="X9" s="245"/>
      <c r="Y9" s="245"/>
      <c r="Z9" s="245" t="s">
        <v>330</v>
      </c>
      <c r="AA9" s="245" t="s">
        <v>331</v>
      </c>
      <c r="AB9" s="245" t="s">
        <v>329</v>
      </c>
      <c r="AC9" s="245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</row>
    <row r="10" spans="1:41" ht="22.5" customHeight="1" x14ac:dyDescent="0.25">
      <c r="A10" s="223"/>
      <c r="B10" s="250">
        <v>2</v>
      </c>
      <c r="C10" s="376"/>
      <c r="D10" s="963" t="s">
        <v>45</v>
      </c>
      <c r="E10" s="963"/>
      <c r="F10" s="251"/>
      <c r="G10" s="252"/>
      <c r="H10" s="252"/>
      <c r="I10" s="253"/>
      <c r="J10" s="374"/>
      <c r="K10" s="375"/>
      <c r="L10" s="375"/>
      <c r="M10" s="234"/>
      <c r="N10" s="234"/>
      <c r="O10" s="234"/>
      <c r="Q10" s="221"/>
      <c r="R10" s="221"/>
      <c r="S10" s="221"/>
      <c r="T10" s="221"/>
      <c r="U10" s="244" t="s">
        <v>208</v>
      </c>
      <c r="V10" s="221"/>
      <c r="W10" s="245" t="s">
        <v>329</v>
      </c>
      <c r="X10" s="245"/>
      <c r="Y10" s="245"/>
      <c r="Z10" s="245" t="s">
        <v>332</v>
      </c>
      <c r="AA10" s="245" t="s">
        <v>333</v>
      </c>
      <c r="AB10" s="245" t="s">
        <v>329</v>
      </c>
      <c r="AC10" s="245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</row>
    <row r="11" spans="1:41" x14ac:dyDescent="0.25">
      <c r="A11" s="223"/>
      <c r="B11" s="237"/>
      <c r="C11" s="238" t="s">
        <v>23</v>
      </c>
      <c r="D11" s="239" t="s">
        <v>2</v>
      </c>
      <c r="E11" s="974" t="s">
        <v>525</v>
      </c>
      <c r="F11" s="975"/>
      <c r="G11" s="240"/>
      <c r="H11" s="240"/>
      <c r="I11" s="269"/>
      <c r="J11" s="418"/>
      <c r="K11" s="419"/>
      <c r="L11" s="419"/>
      <c r="M11" s="241"/>
      <c r="N11" s="241"/>
      <c r="O11" s="241"/>
      <c r="Q11" s="221"/>
      <c r="R11" s="221"/>
      <c r="S11" s="221"/>
      <c r="T11" s="221"/>
      <c r="U11" s="244" t="s">
        <v>210</v>
      </c>
      <c r="V11" s="221"/>
      <c r="W11" s="245" t="s">
        <v>334</v>
      </c>
      <c r="X11" s="245"/>
      <c r="Y11" s="245"/>
      <c r="Z11" s="245" t="s">
        <v>335</v>
      </c>
      <c r="AA11" s="245" t="s">
        <v>321</v>
      </c>
      <c r="AB11" s="245" t="s">
        <v>334</v>
      </c>
      <c r="AC11" s="245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</row>
    <row r="12" spans="1:41" ht="24" customHeight="1" x14ac:dyDescent="0.25">
      <c r="A12" s="223"/>
      <c r="B12" s="237"/>
      <c r="C12" s="238" t="s">
        <v>39</v>
      </c>
      <c r="D12" s="239" t="s">
        <v>3</v>
      </c>
      <c r="E12" s="972" t="s">
        <v>524</v>
      </c>
      <c r="F12" s="973"/>
      <c r="G12" s="240"/>
      <c r="H12" s="240"/>
      <c r="I12" s="269"/>
      <c r="J12" s="418"/>
      <c r="K12" s="419"/>
      <c r="L12" s="419"/>
      <c r="M12" s="241"/>
      <c r="N12" s="241"/>
      <c r="O12" s="241"/>
      <c r="Q12" s="221"/>
      <c r="R12" s="221"/>
      <c r="S12" s="221"/>
      <c r="T12" s="221"/>
      <c r="U12" s="244" t="s">
        <v>212</v>
      </c>
      <c r="V12" s="221"/>
      <c r="W12" s="245" t="s">
        <v>334</v>
      </c>
      <c r="X12" s="245"/>
      <c r="Y12" s="245"/>
      <c r="Z12" s="245" t="s">
        <v>336</v>
      </c>
      <c r="AA12" s="245" t="s">
        <v>337</v>
      </c>
      <c r="AB12" s="245" t="s">
        <v>334</v>
      </c>
      <c r="AC12" s="245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</row>
    <row r="13" spans="1:41" ht="24" customHeight="1" x14ac:dyDescent="0.25">
      <c r="A13" s="223"/>
      <c r="B13" s="237"/>
      <c r="C13" s="238" t="s">
        <v>40</v>
      </c>
      <c r="D13" s="239" t="s">
        <v>320</v>
      </c>
      <c r="E13" s="967" t="s">
        <v>321</v>
      </c>
      <c r="F13" s="968"/>
      <c r="G13" s="240"/>
      <c r="H13" s="240"/>
      <c r="I13" s="269"/>
      <c r="J13" s="418"/>
      <c r="K13" s="419"/>
      <c r="L13" s="419"/>
      <c r="M13" s="241"/>
      <c r="N13" s="241"/>
      <c r="O13" s="241"/>
      <c r="Q13" s="221"/>
      <c r="R13" s="221"/>
      <c r="S13" s="221"/>
      <c r="T13" s="221"/>
      <c r="U13" s="244" t="s">
        <v>214</v>
      </c>
      <c r="V13" s="221"/>
      <c r="W13" s="245" t="s">
        <v>334</v>
      </c>
      <c r="X13" s="245"/>
      <c r="Y13" s="245"/>
      <c r="Z13" s="245" t="s">
        <v>338</v>
      </c>
      <c r="AA13" s="245" t="s">
        <v>339</v>
      </c>
      <c r="AB13" s="245" t="s">
        <v>334</v>
      </c>
      <c r="AC13" s="245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</row>
    <row r="14" spans="1:41" ht="24" customHeight="1" x14ac:dyDescent="0.25">
      <c r="A14" s="223"/>
      <c r="B14" s="237"/>
      <c r="C14" s="238" t="s">
        <v>41</v>
      </c>
      <c r="D14" s="239" t="s">
        <v>340</v>
      </c>
      <c r="E14" s="369" t="str">
        <f>VLOOKUP(E13,PANGKAT,2,)</f>
        <v>Guru Madya</v>
      </c>
      <c r="F14" s="254" t="s">
        <v>58</v>
      </c>
      <c r="G14" s="240"/>
      <c r="H14" s="240"/>
      <c r="I14" s="269"/>
      <c r="J14" s="418"/>
      <c r="K14" s="419"/>
      <c r="L14" s="419"/>
      <c r="M14" s="241"/>
      <c r="N14" s="241"/>
      <c r="O14" s="241"/>
      <c r="Q14" s="221"/>
      <c r="R14" s="221"/>
      <c r="S14" s="221"/>
      <c r="T14" s="221"/>
      <c r="U14" s="244" t="s">
        <v>216</v>
      </c>
      <c r="V14" s="221"/>
      <c r="W14" s="245" t="s">
        <v>341</v>
      </c>
      <c r="X14" s="245"/>
      <c r="Y14" s="245"/>
      <c r="Z14" s="245" t="s">
        <v>342</v>
      </c>
      <c r="AA14" s="245" t="s">
        <v>343</v>
      </c>
      <c r="AB14" s="245" t="s">
        <v>341</v>
      </c>
      <c r="AC14" s="245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</row>
    <row r="15" spans="1:41" ht="24" customHeight="1" x14ac:dyDescent="0.25">
      <c r="A15" s="223"/>
      <c r="B15" s="249"/>
      <c r="C15" s="238" t="s">
        <v>43</v>
      </c>
      <c r="D15" s="239" t="s">
        <v>44</v>
      </c>
      <c r="E15" s="967" t="str">
        <f>E9</f>
        <v>MTs Negeri 5 Sleman</v>
      </c>
      <c r="F15" s="968"/>
      <c r="G15" s="240"/>
      <c r="H15" s="240"/>
      <c r="I15" s="269"/>
      <c r="J15" s="418"/>
      <c r="K15" s="419"/>
      <c r="L15" s="419"/>
      <c r="M15" s="241"/>
      <c r="N15" s="241"/>
      <c r="O15" s="241"/>
      <c r="Q15" s="221"/>
      <c r="R15" s="221"/>
      <c r="S15" s="221"/>
      <c r="T15" s="221"/>
      <c r="U15" s="244" t="s">
        <v>220</v>
      </c>
      <c r="V15" s="221"/>
      <c r="W15" s="245" t="s">
        <v>341</v>
      </c>
      <c r="X15" s="245"/>
      <c r="Y15" s="245"/>
      <c r="Z15" s="245"/>
      <c r="AA15" s="245" t="s">
        <v>344</v>
      </c>
      <c r="AB15" s="245" t="s">
        <v>341</v>
      </c>
      <c r="AC15" s="245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</row>
    <row r="16" spans="1:41" ht="18.75" customHeight="1" x14ac:dyDescent="0.25">
      <c r="A16" s="223"/>
      <c r="B16" s="255">
        <v>3</v>
      </c>
      <c r="C16" s="256"/>
      <c r="D16" s="976" t="s">
        <v>47</v>
      </c>
      <c r="E16" s="977"/>
      <c r="F16" s="257"/>
      <c r="G16" s="252"/>
      <c r="H16" s="252"/>
      <c r="I16" s="253"/>
      <c r="J16" s="374"/>
      <c r="K16" s="375"/>
      <c r="L16" s="375"/>
      <c r="M16" s="234"/>
      <c r="N16" s="234"/>
      <c r="O16" s="234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</row>
    <row r="17" spans="1:41" ht="24" customHeight="1" x14ac:dyDescent="0.25">
      <c r="A17" s="223"/>
      <c r="B17" s="237"/>
      <c r="C17" s="238" t="s">
        <v>23</v>
      </c>
      <c r="D17" s="258" t="s">
        <v>2</v>
      </c>
      <c r="E17" s="974" t="s">
        <v>526</v>
      </c>
      <c r="F17" s="975"/>
      <c r="G17" s="240"/>
      <c r="H17" s="240"/>
      <c r="I17" s="269"/>
      <c r="J17" s="418"/>
      <c r="K17" s="419"/>
      <c r="L17" s="419"/>
      <c r="M17" s="241"/>
      <c r="N17" s="241"/>
      <c r="O17" s="24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</row>
    <row r="18" spans="1:41" ht="24" customHeight="1" x14ac:dyDescent="0.25">
      <c r="A18" s="223"/>
      <c r="B18" s="237"/>
      <c r="C18" s="238" t="s">
        <v>39</v>
      </c>
      <c r="D18" s="258" t="s">
        <v>3</v>
      </c>
      <c r="E18" s="978" t="s">
        <v>527</v>
      </c>
      <c r="F18" s="979"/>
      <c r="G18" s="240"/>
      <c r="H18" s="240"/>
      <c r="I18" s="269"/>
      <c r="J18" s="418"/>
      <c r="K18" s="419"/>
      <c r="L18" s="419"/>
      <c r="M18" s="241"/>
      <c r="N18" s="241"/>
      <c r="O18" s="24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</row>
    <row r="19" spans="1:41" ht="24" customHeight="1" x14ac:dyDescent="0.25">
      <c r="A19" s="223"/>
      <c r="B19" s="237"/>
      <c r="C19" s="238" t="s">
        <v>40</v>
      </c>
      <c r="D19" s="258" t="s">
        <v>320</v>
      </c>
      <c r="E19" s="970" t="s">
        <v>337</v>
      </c>
      <c r="F19" s="970"/>
      <c r="G19" s="240"/>
      <c r="H19" s="240"/>
      <c r="I19" s="269"/>
      <c r="J19" s="418"/>
      <c r="K19" s="419"/>
      <c r="L19" s="419"/>
      <c r="M19" s="241"/>
      <c r="N19" s="241"/>
      <c r="O19" s="24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</row>
    <row r="20" spans="1:41" ht="24" customHeight="1" x14ac:dyDescent="0.25">
      <c r="A20" s="223"/>
      <c r="B20" s="237"/>
      <c r="C20" s="238" t="s">
        <v>41</v>
      </c>
      <c r="D20" s="258" t="s">
        <v>340</v>
      </c>
      <c r="E20" s="971" t="s">
        <v>310</v>
      </c>
      <c r="F20" s="971"/>
      <c r="G20" s="259"/>
      <c r="H20" s="259"/>
      <c r="I20" s="260"/>
      <c r="J20" s="420"/>
      <c r="K20" s="421"/>
      <c r="L20" s="421"/>
      <c r="M20" s="261"/>
      <c r="N20" s="261"/>
      <c r="O20" s="26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</row>
    <row r="21" spans="1:41" ht="24" customHeight="1" x14ac:dyDescent="0.25">
      <c r="A21" s="223"/>
      <c r="B21" s="249"/>
      <c r="C21" s="238" t="s">
        <v>43</v>
      </c>
      <c r="D21" s="258" t="s">
        <v>44</v>
      </c>
      <c r="E21" s="268" t="s">
        <v>345</v>
      </c>
      <c r="F21" s="246"/>
      <c r="G21" s="240"/>
      <c r="H21" s="240"/>
      <c r="I21" s="269"/>
      <c r="J21" s="418"/>
      <c r="K21" s="419"/>
      <c r="L21" s="419"/>
      <c r="M21" s="241"/>
      <c r="N21" s="241"/>
      <c r="O21" s="24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</row>
    <row r="22" spans="1:41" ht="30" customHeight="1" x14ac:dyDescent="0.25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373"/>
      <c r="L22" s="373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</row>
    <row r="23" spans="1:41" ht="30" customHeight="1" x14ac:dyDescent="0.25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373"/>
      <c r="L23" s="373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</row>
    <row r="24" spans="1:41" ht="30" customHeight="1" x14ac:dyDescent="0.25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373"/>
      <c r="L24" s="373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</row>
    <row r="25" spans="1:41" ht="30" customHeight="1" x14ac:dyDescent="0.25">
      <c r="A25" s="222"/>
      <c r="B25" s="222"/>
      <c r="C25" s="222"/>
      <c r="D25" s="222"/>
      <c r="E25" s="222"/>
      <c r="F25" s="222"/>
      <c r="G25" s="222"/>
      <c r="H25" s="222"/>
      <c r="I25" s="222"/>
      <c r="J25" s="222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</row>
    <row r="26" spans="1:41" ht="30" customHeight="1" x14ac:dyDescent="0.25">
      <c r="A26" s="222"/>
      <c r="B26" s="222"/>
      <c r="C26" s="222"/>
      <c r="D26" s="222"/>
      <c r="E26" s="222"/>
      <c r="F26" s="222"/>
      <c r="G26" s="222"/>
      <c r="H26" s="222"/>
      <c r="I26" s="222"/>
      <c r="J26" s="222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</row>
    <row r="27" spans="1:41" ht="30" customHeight="1" x14ac:dyDescent="0.25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</row>
    <row r="28" spans="1:41" ht="30" customHeight="1" x14ac:dyDescent="0.25">
      <c r="A28" s="222"/>
      <c r="B28" s="222"/>
      <c r="C28" s="222"/>
      <c r="D28" s="222"/>
      <c r="E28" s="222"/>
      <c r="F28" s="222"/>
      <c r="G28" s="222"/>
      <c r="H28" s="222"/>
      <c r="I28" s="222"/>
      <c r="J28" s="222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</row>
    <row r="29" spans="1:41" ht="30" customHeight="1" x14ac:dyDescent="0.25">
      <c r="A29" s="222"/>
      <c r="B29" s="222"/>
      <c r="C29" s="222"/>
      <c r="D29" s="222"/>
      <c r="E29" s="222"/>
      <c r="F29" s="222"/>
      <c r="G29" s="222"/>
      <c r="H29" s="222"/>
      <c r="I29" s="222"/>
      <c r="J29" s="222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</row>
    <row r="30" spans="1:41" ht="30" customHeight="1" x14ac:dyDescent="0.25"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</row>
    <row r="31" spans="1:41" ht="30" customHeight="1" x14ac:dyDescent="0.25"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</row>
    <row r="32" spans="1:41" ht="30" customHeight="1" x14ac:dyDescent="0.25"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</row>
    <row r="33" spans="17:41" ht="30" customHeight="1" x14ac:dyDescent="0.25"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</row>
    <row r="34" spans="17:41" ht="30" customHeight="1" x14ac:dyDescent="0.25"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</row>
    <row r="35" spans="17:41" ht="30" customHeight="1" x14ac:dyDescent="0.25"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</row>
    <row r="36" spans="17:41" ht="30" customHeight="1" x14ac:dyDescent="0.25"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</row>
    <row r="37" spans="17:41" ht="30" customHeight="1" x14ac:dyDescent="0.25"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</row>
    <row r="38" spans="17:41" ht="30" customHeight="1" x14ac:dyDescent="0.25"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</row>
    <row r="39" spans="17:41" ht="30" customHeight="1" x14ac:dyDescent="0.25"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</row>
    <row r="40" spans="17:41" ht="30" customHeight="1" x14ac:dyDescent="0.25"/>
    <row r="41" spans="17:41" ht="30" customHeight="1" x14ac:dyDescent="0.25"/>
    <row r="42" spans="17:41" ht="30" customHeight="1" x14ac:dyDescent="0.25"/>
    <row r="43" spans="17:41" ht="30" customHeight="1" x14ac:dyDescent="0.25"/>
    <row r="44" spans="17:41" ht="30" customHeight="1" x14ac:dyDescent="0.25"/>
    <row r="45" spans="17:41" ht="30" customHeight="1" x14ac:dyDescent="0.25"/>
  </sheetData>
  <sheetProtection algorithmName="SHA-512" hashValue="ellbT7t1vCg+YTqh9tsjT8Ya3i54t5+zWW8nxVUafrlOOYiZv2FacTUzjdahhoU9uos1gErNUNooZ+hHME1oEg==" saltValue="OBShJcBKHqkMGrU0mBzrYg==" spinCount="100000" sheet="1" formatColumns="0" formatRows="0"/>
  <mergeCells count="16">
    <mergeCell ref="E19:F19"/>
    <mergeCell ref="E20:F20"/>
    <mergeCell ref="E12:F12"/>
    <mergeCell ref="E11:F11"/>
    <mergeCell ref="E13:F13"/>
    <mergeCell ref="E15:F15"/>
    <mergeCell ref="D16:E16"/>
    <mergeCell ref="E17:F17"/>
    <mergeCell ref="E18:F18"/>
    <mergeCell ref="D10:E10"/>
    <mergeCell ref="B1:I1"/>
    <mergeCell ref="D4:E4"/>
    <mergeCell ref="E5:F5"/>
    <mergeCell ref="E6:F6"/>
    <mergeCell ref="E9:F9"/>
    <mergeCell ref="E7:F7"/>
  </mergeCells>
  <dataValidations count="3">
    <dataValidation type="list" allowBlank="1" showInputMessage="1" showErrorMessage="1" promptTitle="Perhatian !" prompt="Pilih sesuai jabatan" sqref="F14" xr:uid="{00000000-0002-0000-0400-000000000000}">
      <formula1>$U$7:$U$15</formula1>
    </dataValidation>
    <dataValidation type="list" allowBlank="1" showInputMessage="1" showErrorMessage="1" sqref="E13 E7 E19" xr:uid="{00000000-0002-0000-0400-000001000000}">
      <formula1>$AA$6:$AA$15</formula1>
    </dataValidation>
    <dataValidation type="list" allowBlank="1" showInputMessage="1" showErrorMessage="1" sqref="F8" xr:uid="{00000000-0002-0000-0400-000002000000}">
      <formula1>$U$7:$U$14</formula1>
    </dataValidation>
  </dataValidations>
  <pageMargins left="0.56000000000000005" right="0.23622047244094491" top="0.9055118110236221" bottom="0.74803149606299213" header="0.31496062992125984" footer="0.31496062992125984"/>
  <pageSetup paperSize="5" orientation="portrait" horizontalDpi="200" verticalDpi="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IU94"/>
  <sheetViews>
    <sheetView showGridLines="0" tabSelected="1" topLeftCell="A11" zoomScale="110" zoomScaleNormal="110" zoomScaleSheetLayoutView="100" workbookViewId="0"/>
  </sheetViews>
  <sheetFormatPr defaultColWidth="0" defaultRowHeight="12.75" customHeight="1" zeroHeight="1" x14ac:dyDescent="0.2"/>
  <cols>
    <col min="1" max="1" width="9.140625" style="8" customWidth="1"/>
    <col min="2" max="2" width="4.42578125" style="8" customWidth="1"/>
    <col min="3" max="3" width="9.140625" style="8" customWidth="1"/>
    <col min="4" max="4" width="6.140625" style="8" customWidth="1"/>
    <col min="5" max="5" width="2.42578125" style="8" customWidth="1"/>
    <col min="6" max="6" width="4" style="8" customWidth="1"/>
    <col min="7" max="7" width="10.7109375" style="8" customWidth="1"/>
    <col min="8" max="8" width="37.28515625" style="8" customWidth="1"/>
    <col min="9" max="9" width="5.85546875" style="8" hidden="1" customWidth="1"/>
    <col min="10" max="10" width="7.42578125" style="8" customWidth="1"/>
    <col min="11" max="11" width="5.85546875" style="8" customWidth="1"/>
    <col min="12" max="13" width="9.7109375" style="8" customWidth="1"/>
    <col min="14" max="14" width="6.140625" style="8" customWidth="1"/>
    <col min="15" max="15" width="9" style="8" customWidth="1"/>
    <col min="16" max="16" width="9.5703125" style="8" customWidth="1"/>
    <col min="17" max="17" width="3.42578125" style="8" customWidth="1"/>
    <col min="18" max="21" width="9.140625" style="8" customWidth="1"/>
    <col min="22" max="45" width="9.140625" style="8" hidden="1" customWidth="1"/>
    <col min="46" max="46" width="4.28515625" style="8" hidden="1" customWidth="1"/>
    <col min="47" max="254" width="9.140625" style="8" hidden="1" customWidth="1"/>
    <col min="255" max="255" width="5.42578125" style="8" hidden="1" customWidth="1"/>
    <col min="256" max="16384" width="0" style="8" hidden="1"/>
  </cols>
  <sheetData>
    <row r="1" spans="1:47" s="9" customFormat="1" ht="18" x14ac:dyDescent="0.25">
      <c r="A1" s="7"/>
      <c r="B1" s="7"/>
      <c r="C1" s="7"/>
      <c r="D1" s="980" t="s">
        <v>103</v>
      </c>
      <c r="E1" s="980"/>
      <c r="F1" s="980"/>
      <c r="G1" s="980"/>
      <c r="H1" s="980"/>
      <c r="I1" s="980"/>
      <c r="J1" s="980"/>
      <c r="K1" s="980"/>
      <c r="L1" s="980"/>
      <c r="M1" s="980"/>
      <c r="N1" s="980"/>
      <c r="O1" s="980"/>
      <c r="P1" s="980"/>
      <c r="Q1" s="313"/>
      <c r="R1" s="7"/>
      <c r="S1" s="7"/>
      <c r="T1" s="7"/>
      <c r="U1" s="7"/>
    </row>
    <row r="2" spans="1:47" s="9" customFormat="1" x14ac:dyDescent="0.2">
      <c r="A2" s="7"/>
      <c r="B2" s="7"/>
      <c r="C2" s="7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313"/>
      <c r="R2" s="7"/>
      <c r="S2" s="7"/>
      <c r="T2" s="7"/>
      <c r="U2" s="7"/>
    </row>
    <row r="3" spans="1:47" s="13" customFormat="1" ht="21.95" customHeight="1" x14ac:dyDescent="0.2">
      <c r="A3" s="11"/>
      <c r="B3" s="11"/>
      <c r="C3" s="11"/>
      <c r="D3" s="12" t="s">
        <v>22</v>
      </c>
      <c r="E3" s="981" t="s">
        <v>104</v>
      </c>
      <c r="F3" s="982"/>
      <c r="G3" s="982"/>
      <c r="H3" s="983"/>
      <c r="I3" s="984"/>
      <c r="J3" s="12" t="s">
        <v>1</v>
      </c>
      <c r="K3" s="985" t="s">
        <v>105</v>
      </c>
      <c r="L3" s="983"/>
      <c r="M3" s="983"/>
      <c r="N3" s="983"/>
      <c r="O3" s="983"/>
      <c r="P3" s="986"/>
      <c r="Q3" s="314"/>
      <c r="R3" s="11"/>
      <c r="S3" s="11"/>
      <c r="T3" s="11"/>
      <c r="U3" s="11"/>
    </row>
    <row r="4" spans="1:47" s="18" customFormat="1" ht="18" customHeight="1" x14ac:dyDescent="0.2">
      <c r="A4" s="14"/>
      <c r="B4" s="14"/>
      <c r="C4" s="14"/>
      <c r="D4" s="15">
        <v>1</v>
      </c>
      <c r="E4" s="987" t="s">
        <v>2</v>
      </c>
      <c r="F4" s="987"/>
      <c r="G4" s="987"/>
      <c r="H4" s="262" t="str">
        <f>'DATA SKP'!E11</f>
        <v>Etyk Nurhayati, S.PdI, M.Pd</v>
      </c>
      <c r="I4" s="16"/>
      <c r="J4" s="15">
        <v>1</v>
      </c>
      <c r="K4" s="987" t="s">
        <v>2</v>
      </c>
      <c r="L4" s="987"/>
      <c r="M4" s="987"/>
      <c r="N4" s="988" t="str">
        <f>'DATA SKP'!E5</f>
        <v>Sirajudin, S.Pd.</v>
      </c>
      <c r="O4" s="987"/>
      <c r="P4" s="989"/>
      <c r="Q4" s="315"/>
      <c r="R4" s="14"/>
      <c r="S4" s="14"/>
      <c r="T4" s="14"/>
      <c r="U4" s="14"/>
    </row>
    <row r="5" spans="1:47" s="18" customFormat="1" ht="18" customHeight="1" x14ac:dyDescent="0.2">
      <c r="A5" s="14"/>
      <c r="B5" s="14"/>
      <c r="C5" s="14"/>
      <c r="D5" s="19">
        <v>2</v>
      </c>
      <c r="E5" s="999" t="s">
        <v>3</v>
      </c>
      <c r="F5" s="999"/>
      <c r="G5" s="1000"/>
      <c r="H5" s="263" t="str">
        <f>'DATA SKP'!E12</f>
        <v>19800930 200501 2 007</v>
      </c>
      <c r="I5" s="20"/>
      <c r="J5" s="19">
        <v>2</v>
      </c>
      <c r="K5" s="999" t="s">
        <v>3</v>
      </c>
      <c r="L5" s="999"/>
      <c r="M5" s="1000"/>
      <c r="N5" s="1001" t="str">
        <f>'DATA SKP'!E6</f>
        <v>19730115 200710 1 001</v>
      </c>
      <c r="O5" s="1000"/>
      <c r="P5" s="1002"/>
      <c r="Q5" s="315"/>
      <c r="R5" s="14"/>
      <c r="S5" s="14"/>
      <c r="T5" s="14"/>
      <c r="U5" s="14"/>
    </row>
    <row r="6" spans="1:47" s="18" customFormat="1" ht="21.75" customHeight="1" x14ac:dyDescent="0.2">
      <c r="A6" s="14"/>
      <c r="B6" s="14"/>
      <c r="C6" s="14"/>
      <c r="D6" s="19">
        <v>3</v>
      </c>
      <c r="E6" s="999" t="s">
        <v>106</v>
      </c>
      <c r="F6" s="999"/>
      <c r="G6" s="1000"/>
      <c r="H6" s="263" t="str">
        <f>'DATA SKP'!E13</f>
        <v>Pembina, Gol. IV/a</v>
      </c>
      <c r="I6" s="20"/>
      <c r="J6" s="19">
        <v>3</v>
      </c>
      <c r="K6" s="999" t="s">
        <v>106</v>
      </c>
      <c r="L6" s="999"/>
      <c r="M6" s="1000"/>
      <c r="N6" s="1001" t="str">
        <f>'DATA SKP'!E7</f>
        <v>Penata Muda, Gol. III/a</v>
      </c>
      <c r="O6" s="1000"/>
      <c r="P6" s="1002"/>
      <c r="Q6" s="315"/>
      <c r="R6" s="14"/>
      <c r="S6" s="14"/>
      <c r="T6" s="14"/>
      <c r="U6" s="14"/>
    </row>
    <row r="7" spans="1:47" s="18" customFormat="1" ht="18" customHeight="1" x14ac:dyDescent="0.2">
      <c r="A7" s="14"/>
      <c r="B7" s="14"/>
      <c r="C7" s="14"/>
      <c r="D7" s="19">
        <v>4</v>
      </c>
      <c r="E7" s="999" t="s">
        <v>42</v>
      </c>
      <c r="F7" s="999"/>
      <c r="G7" s="1000"/>
      <c r="H7" s="263" t="str">
        <f>'DATA SKP'!E14&amp;" / "&amp;'DATA SKP'!F14</f>
        <v>Guru Madya / Kepala Madrasah</v>
      </c>
      <c r="I7" s="20"/>
      <c r="J7" s="19">
        <v>4</v>
      </c>
      <c r="K7" s="999" t="s">
        <v>42</v>
      </c>
      <c r="L7" s="999"/>
      <c r="M7" s="1000"/>
      <c r="N7" s="1001" t="str">
        <f>'DATA SKP'!E8&amp;" / "&amp;'DATA SKP'!F8</f>
        <v>Guru Pertama / Guru</v>
      </c>
      <c r="O7" s="1000"/>
      <c r="P7" s="1002"/>
      <c r="Q7" s="315"/>
      <c r="R7" s="14"/>
      <c r="S7" s="14"/>
      <c r="T7" s="14"/>
      <c r="U7" s="14"/>
    </row>
    <row r="8" spans="1:47" s="18" customFormat="1" ht="18" customHeight="1" x14ac:dyDescent="0.2">
      <c r="A8" s="14"/>
      <c r="B8" s="14"/>
      <c r="C8" s="14"/>
      <c r="D8" s="21">
        <v>5</v>
      </c>
      <c r="E8" s="991" t="s">
        <v>5</v>
      </c>
      <c r="F8" s="991"/>
      <c r="G8" s="991"/>
      <c r="H8" s="264" t="str">
        <f>'DATA SKP'!E15</f>
        <v>MTs Negeri 5 Sleman</v>
      </c>
      <c r="I8" s="22"/>
      <c r="J8" s="21">
        <v>5</v>
      </c>
      <c r="K8" s="991" t="s">
        <v>5</v>
      </c>
      <c r="L8" s="991"/>
      <c r="M8" s="991"/>
      <c r="N8" s="990" t="str">
        <f>'DATA SKP'!E9</f>
        <v>MTs Negeri 5 Sleman</v>
      </c>
      <c r="O8" s="991"/>
      <c r="P8" s="992"/>
      <c r="Q8" s="315"/>
      <c r="R8" s="14"/>
      <c r="S8" s="14"/>
      <c r="T8" s="14"/>
      <c r="U8" s="14"/>
    </row>
    <row r="9" spans="1:47" s="27" customFormat="1" ht="32.25" customHeight="1" x14ac:dyDescent="0.2">
      <c r="A9" s="23"/>
      <c r="B9" s="23"/>
      <c r="C9" s="23"/>
      <c r="D9" s="24" t="s">
        <v>1</v>
      </c>
      <c r="E9" s="993" t="s">
        <v>14</v>
      </c>
      <c r="F9" s="994"/>
      <c r="G9" s="994"/>
      <c r="H9" s="995"/>
      <c r="I9" s="996"/>
      <c r="J9" s="25" t="s">
        <v>107</v>
      </c>
      <c r="K9" s="997" t="s">
        <v>108</v>
      </c>
      <c r="L9" s="998"/>
      <c r="M9" s="26" t="s">
        <v>109</v>
      </c>
      <c r="N9" s="997" t="s">
        <v>8</v>
      </c>
      <c r="O9" s="998"/>
      <c r="P9" s="26" t="s">
        <v>110</v>
      </c>
      <c r="Q9" s="316"/>
      <c r="R9" s="23"/>
      <c r="S9" s="23"/>
      <c r="T9" s="23"/>
      <c r="U9" s="23"/>
    </row>
    <row r="10" spans="1:47" s="27" customFormat="1" ht="18.75" customHeight="1" x14ac:dyDescent="0.2">
      <c r="A10" s="23"/>
      <c r="B10" s="23"/>
      <c r="C10" s="23"/>
      <c r="D10" s="28"/>
      <c r="E10" s="1009" t="s">
        <v>111</v>
      </c>
      <c r="F10" s="1009"/>
      <c r="G10" s="1009"/>
      <c r="H10" s="1010"/>
      <c r="I10" s="29"/>
      <c r="J10" s="30"/>
      <c r="K10" s="30"/>
      <c r="L10" s="30"/>
      <c r="M10" s="30"/>
      <c r="N10" s="30"/>
      <c r="O10" s="30"/>
      <c r="P10" s="30"/>
      <c r="Q10" s="316"/>
      <c r="R10" s="23"/>
      <c r="S10" s="23"/>
      <c r="T10" s="23"/>
      <c r="U10" s="23"/>
    </row>
    <row r="11" spans="1:47" s="18" customFormat="1" ht="38.25" customHeight="1" x14ac:dyDescent="0.2">
      <c r="B11" s="31" t="s">
        <v>112</v>
      </c>
      <c r="D11" s="44">
        <v>1</v>
      </c>
      <c r="E11" s="1003" t="str">
        <f>VLOOKUP(B11,'KEGIATAN GURU'!$B$11:$S$90,2)</f>
        <v>Merencanakan dan melaksanakan pembelajaran, mengevaluasi dan menilai hasil pembelajaran, menganalisis hasil pembelajaran, melaksanakan tindak lanjut hasil penilaian. (05)</v>
      </c>
      <c r="F11" s="1003"/>
      <c r="G11" s="1003"/>
      <c r="H11" s="1004"/>
      <c r="I11" s="296">
        <f>VLOOKUP(B11,'KEGIATAN GURU'!$B$11:$T$90,19)</f>
        <v>10.5</v>
      </c>
      <c r="J11" s="297">
        <f>VLOOKUP(B11,'KEGIATAN GURU'!$B$11:$T$90,19)</f>
        <v>10.5</v>
      </c>
      <c r="K11" s="32">
        <v>1</v>
      </c>
      <c r="L11" s="33" t="s">
        <v>113</v>
      </c>
      <c r="M11" s="34">
        <v>100</v>
      </c>
      <c r="N11" s="35">
        <v>6</v>
      </c>
      <c r="O11" s="35" t="s">
        <v>59</v>
      </c>
      <c r="P11" s="712" t="s">
        <v>15</v>
      </c>
      <c r="Q11" s="17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7" t="s">
        <v>114</v>
      </c>
      <c r="AU11" s="36"/>
    </row>
    <row r="12" spans="1:47" s="42" customFormat="1" ht="14.25" customHeight="1" x14ac:dyDescent="0.2">
      <c r="B12" s="31" t="s">
        <v>117</v>
      </c>
      <c r="D12" s="298">
        <v>2</v>
      </c>
      <c r="E12" s="1003" t="str">
        <f>VLOOKUP(B12,'KEGIATAN GURU'!$B$11:$S$90,2)</f>
        <v>Menjadi peserta pada kegiatan ilmiah. (27)</v>
      </c>
      <c r="F12" s="1003"/>
      <c r="G12" s="1003"/>
      <c r="H12" s="1004"/>
      <c r="I12" s="296">
        <f>VLOOKUP(B12,'KEGIATAN GURU'!$B$11:$T$90,19)</f>
        <v>0.1</v>
      </c>
      <c r="J12" s="297">
        <f>VLOOKUP(B12,'KEGIATAN GURU'!$B$11:$T$90,19)</f>
        <v>0.1</v>
      </c>
      <c r="K12" s="39">
        <v>1</v>
      </c>
      <c r="L12" s="33" t="s">
        <v>118</v>
      </c>
      <c r="M12" s="34">
        <v>100</v>
      </c>
      <c r="N12" s="35">
        <v>6</v>
      </c>
      <c r="O12" s="35" t="s">
        <v>59</v>
      </c>
      <c r="P12" s="712" t="s">
        <v>15</v>
      </c>
      <c r="Q12" s="4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37" t="s">
        <v>112</v>
      </c>
      <c r="AU12" s="41"/>
    </row>
    <row r="13" spans="1:47" s="42" customFormat="1" ht="24" customHeight="1" x14ac:dyDescent="0.2">
      <c r="B13" s="31" t="s">
        <v>120</v>
      </c>
      <c r="D13" s="298">
        <v>3</v>
      </c>
      <c r="E13" s="1003" t="str">
        <f>VLOOKUP(B13,'KEGIATAN GURU'!$B$11:$S$90,2)</f>
        <v>Kegiatan kolektif lainnya yang sesuai dengan tugas dan kewajiban guru. (28)</v>
      </c>
      <c r="F13" s="1003"/>
      <c r="G13" s="1003"/>
      <c r="H13" s="1004"/>
      <c r="I13" s="296">
        <f>VLOOKUP(B13,'KEGIATAN GURU'!$B$11:$T$90,19)</f>
        <v>0.1</v>
      </c>
      <c r="J13" s="297">
        <f>VLOOKUP(B13,'KEGIATAN GURU'!$B$11:$T$90,19)</f>
        <v>0.1</v>
      </c>
      <c r="K13" s="39">
        <v>1</v>
      </c>
      <c r="L13" s="33" t="s">
        <v>699</v>
      </c>
      <c r="M13" s="34">
        <v>100</v>
      </c>
      <c r="N13" s="35">
        <v>6</v>
      </c>
      <c r="O13" s="35" t="s">
        <v>59</v>
      </c>
      <c r="P13" s="712" t="s">
        <v>15</v>
      </c>
      <c r="Q13" s="4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37" t="s">
        <v>119</v>
      </c>
      <c r="AU13" s="41"/>
    </row>
    <row r="14" spans="1:47" s="42" customFormat="1" ht="14.25" customHeight="1" x14ac:dyDescent="0.2">
      <c r="B14" s="31" t="s">
        <v>124</v>
      </c>
      <c r="D14" s="44">
        <v>4</v>
      </c>
      <c r="E14" s="1003" t="str">
        <f>VLOOKUP(B14,'KEGIATAN GURU'!$B$11:$S$90,2)</f>
        <v>Membuat alat peraga kategori sederhana. (59)</v>
      </c>
      <c r="F14" s="1003"/>
      <c r="G14" s="1003"/>
      <c r="H14" s="1004"/>
      <c r="I14" s="296">
        <f>VLOOKUP(B14,'KEGIATAN GURU'!$B$11:$T$90,19)</f>
        <v>1</v>
      </c>
      <c r="J14" s="297">
        <f>VLOOKUP(B14,'KEGIATAN GURU'!$B$11:$T$90,19)</f>
        <v>1</v>
      </c>
      <c r="K14" s="39">
        <v>1</v>
      </c>
      <c r="L14" s="33" t="s">
        <v>700</v>
      </c>
      <c r="M14" s="34">
        <v>100</v>
      </c>
      <c r="N14" s="35">
        <v>6</v>
      </c>
      <c r="O14" s="35" t="s">
        <v>59</v>
      </c>
      <c r="P14" s="712" t="s">
        <v>15</v>
      </c>
      <c r="Q14" s="4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37" t="s">
        <v>121</v>
      </c>
      <c r="AU14" s="41"/>
    </row>
    <row r="15" spans="1:47" s="42" customFormat="1" ht="25.9" customHeight="1" x14ac:dyDescent="0.2">
      <c r="B15" s="31" t="s">
        <v>128</v>
      </c>
      <c r="D15" s="298">
        <v>5</v>
      </c>
      <c r="E15" s="1003" t="str">
        <f>VLOOKUP(B15,'KEGIATAN GURU'!$B$11:$S$90,2)</f>
        <v>Menjadi anggota aktif organisasi profesi (PGRI, ABKIN dan sejenisnya). (71)</v>
      </c>
      <c r="F15" s="1003"/>
      <c r="G15" s="1003"/>
      <c r="H15" s="1004"/>
      <c r="I15" s="296">
        <f>VLOOKUP(B15,'KEGIATAN GURU'!$B$11:$T$90,19)</f>
        <v>0.75</v>
      </c>
      <c r="J15" s="297">
        <f>VLOOKUP(B15,'KEGIATAN GURU'!$B$11:$T$90,19)</f>
        <v>0.75</v>
      </c>
      <c r="K15" s="35">
        <v>1</v>
      </c>
      <c r="L15" s="33" t="s">
        <v>686</v>
      </c>
      <c r="M15" s="34">
        <v>100</v>
      </c>
      <c r="N15" s="35">
        <v>6</v>
      </c>
      <c r="O15" s="35" t="s">
        <v>59</v>
      </c>
      <c r="P15" s="712" t="s">
        <v>15</v>
      </c>
      <c r="Q15" s="4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37" t="s">
        <v>123</v>
      </c>
      <c r="AU15" s="41"/>
    </row>
    <row r="16" spans="1:47" s="42" customFormat="1" ht="15.75" hidden="1" customHeight="1" x14ac:dyDescent="0.2">
      <c r="B16" s="31" t="s">
        <v>114</v>
      </c>
      <c r="D16" s="298">
        <v>6</v>
      </c>
      <c r="E16" s="1003" t="str">
        <f>VLOOKUP(B16,'KEGIATAN GURU'!$B$11:$S$90,2)</f>
        <v>-</v>
      </c>
      <c r="F16" s="1003"/>
      <c r="G16" s="1003"/>
      <c r="H16" s="1004"/>
      <c r="I16" s="296">
        <f>VLOOKUP(B16,'KEGIATAN GURU'!$B$11:$T$90,19)</f>
        <v>0</v>
      </c>
      <c r="J16" s="297">
        <f>VLOOKUP(B16,'KEGIATAN GURU'!$B$11:$T$90,19)</f>
        <v>0</v>
      </c>
      <c r="K16" s="35"/>
      <c r="L16" s="33"/>
      <c r="M16" s="34"/>
      <c r="N16" s="35"/>
      <c r="O16" s="35"/>
      <c r="P16" s="712" t="s">
        <v>15</v>
      </c>
      <c r="Q16" s="4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37" t="s">
        <v>125</v>
      </c>
      <c r="AU16" s="41"/>
    </row>
    <row r="17" spans="2:47" s="42" customFormat="1" ht="24.6" hidden="1" customHeight="1" x14ac:dyDescent="0.2">
      <c r="B17" s="31" t="s">
        <v>114</v>
      </c>
      <c r="D17" s="298">
        <v>7</v>
      </c>
      <c r="E17" s="1003" t="str">
        <f>VLOOKUP(B17,'KEGIATAN GURU'!$B$11:$S$90,2)</f>
        <v>-</v>
      </c>
      <c r="F17" s="1003"/>
      <c r="G17" s="1003"/>
      <c r="H17" s="1004"/>
      <c r="I17" s="296">
        <f>VLOOKUP(B17,'KEGIATAN GURU'!$B$11:$T$90,19)</f>
        <v>0</v>
      </c>
      <c r="J17" s="297">
        <f>VLOOKUP(B17,'KEGIATAN GURU'!$B$11:$T$90,19)</f>
        <v>0</v>
      </c>
      <c r="K17" s="35"/>
      <c r="L17" s="33"/>
      <c r="M17" s="34"/>
      <c r="N17" s="35"/>
      <c r="O17" s="35"/>
      <c r="P17" s="712" t="s">
        <v>15</v>
      </c>
      <c r="Q17" s="4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37" t="s">
        <v>127</v>
      </c>
      <c r="AU17" s="41"/>
    </row>
    <row r="18" spans="2:47" s="42" customFormat="1" ht="24" hidden="1" customHeight="1" x14ac:dyDescent="0.2">
      <c r="B18" s="31" t="s">
        <v>114</v>
      </c>
      <c r="D18" s="298">
        <v>8</v>
      </c>
      <c r="E18" s="1003" t="str">
        <f>VLOOKUP(B18,'KEGIATAN GURU'!$B$11:$S$90,2)</f>
        <v>-</v>
      </c>
      <c r="F18" s="1003"/>
      <c r="G18" s="1003"/>
      <c r="H18" s="1004"/>
      <c r="I18" s="296">
        <f>VLOOKUP(B18,'KEGIATAN GURU'!$B$11:$T$90,19)</f>
        <v>0</v>
      </c>
      <c r="J18" s="297">
        <f>VLOOKUP(B18,'KEGIATAN GURU'!$B$11:$T$90,19)</f>
        <v>0</v>
      </c>
      <c r="K18" s="35"/>
      <c r="L18" s="33"/>
      <c r="M18" s="34"/>
      <c r="N18" s="35"/>
      <c r="O18" s="35"/>
      <c r="P18" s="712" t="s">
        <v>15</v>
      </c>
      <c r="Q18" s="4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3" t="s">
        <v>129</v>
      </c>
      <c r="AU18" s="41"/>
    </row>
    <row r="19" spans="2:47" s="42" customFormat="1" ht="13.9" hidden="1" customHeight="1" x14ac:dyDescent="0.2">
      <c r="B19" s="31" t="s">
        <v>114</v>
      </c>
      <c r="D19" s="298">
        <v>9</v>
      </c>
      <c r="E19" s="1003" t="str">
        <f>VLOOKUP(B19,'KEGIATAN GURU'!$B$11:$S$90,2)</f>
        <v>-</v>
      </c>
      <c r="F19" s="1003"/>
      <c r="G19" s="1003"/>
      <c r="H19" s="1004"/>
      <c r="I19" s="296">
        <f>VLOOKUP(B19,'[4]KEGIATAN GURU'!$B$11:$T$90,19)</f>
        <v>0</v>
      </c>
      <c r="J19" s="297">
        <f>VLOOKUP(B19,'KEGIATAN GURU'!$B$11:$T$90,19)</f>
        <v>0</v>
      </c>
      <c r="K19" s="35"/>
      <c r="L19" s="33"/>
      <c r="M19" s="34"/>
      <c r="N19" s="35"/>
      <c r="O19" s="35"/>
      <c r="P19" s="712" t="s">
        <v>15</v>
      </c>
      <c r="Q19" s="4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3" t="s">
        <v>130</v>
      </c>
      <c r="AU19" s="41"/>
    </row>
    <row r="20" spans="2:47" s="42" customFormat="1" ht="13.9" hidden="1" customHeight="1" x14ac:dyDescent="0.2">
      <c r="B20" s="31" t="s">
        <v>114</v>
      </c>
      <c r="D20" s="298">
        <v>10</v>
      </c>
      <c r="E20" s="1003" t="str">
        <f>VLOOKUP(B20,'KEGIATAN GURU'!$B$11:$S$90,2)</f>
        <v>-</v>
      </c>
      <c r="F20" s="1003"/>
      <c r="G20" s="1003"/>
      <c r="H20" s="1004"/>
      <c r="I20" s="296">
        <f>VLOOKUP(B20,'[4]KEGIATAN GURU'!$B$11:$T$90,19)</f>
        <v>0</v>
      </c>
      <c r="J20" s="297">
        <f>VLOOKUP(B20,'KEGIATAN GURU'!$B$11:$T$90,19)</f>
        <v>0</v>
      </c>
      <c r="K20" s="35"/>
      <c r="L20" s="33"/>
      <c r="M20" s="34"/>
      <c r="N20" s="35"/>
      <c r="O20" s="35"/>
      <c r="P20" s="712" t="s">
        <v>15</v>
      </c>
      <c r="Q20" s="4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3"/>
      <c r="AU20" s="41"/>
    </row>
    <row r="21" spans="2:47" s="42" customFormat="1" ht="13.9" hidden="1" customHeight="1" x14ac:dyDescent="0.2">
      <c r="B21" s="31" t="s">
        <v>114</v>
      </c>
      <c r="D21" s="298">
        <v>11</v>
      </c>
      <c r="E21" s="1003" t="str">
        <f>VLOOKUP(B21,'KEGIATAN GURU'!$B$11:$S$90,2)</f>
        <v>-</v>
      </c>
      <c r="F21" s="1003"/>
      <c r="G21" s="1003"/>
      <c r="H21" s="1004"/>
      <c r="I21" s="296">
        <f>VLOOKUP(B21,'[4]KEGIATAN GURU'!$B$11:$T$90,19)</f>
        <v>0</v>
      </c>
      <c r="J21" s="297">
        <f>VLOOKUP(B21,'KEGIATAN GURU'!$B$11:$T$90,19)</f>
        <v>0</v>
      </c>
      <c r="K21" s="35"/>
      <c r="L21" s="33"/>
      <c r="M21" s="34"/>
      <c r="N21" s="35"/>
      <c r="O21" s="35"/>
      <c r="P21" s="712" t="s">
        <v>15</v>
      </c>
      <c r="Q21" s="4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3"/>
      <c r="AU21" s="41"/>
    </row>
    <row r="22" spans="2:47" s="42" customFormat="1" ht="10.5" hidden="1" customHeight="1" x14ac:dyDescent="0.2">
      <c r="B22" s="31" t="s">
        <v>114</v>
      </c>
      <c r="D22" s="298">
        <v>12</v>
      </c>
      <c r="E22" s="1003" t="str">
        <f>VLOOKUP(B22,'KEGIATAN GURU'!$B$11:$S$90,2)</f>
        <v>-</v>
      </c>
      <c r="F22" s="1003"/>
      <c r="G22" s="1003"/>
      <c r="H22" s="1004"/>
      <c r="I22" s="296">
        <f>VLOOKUP(B22,'[4]KEGIATAN GURU'!$B$11:$T$90,19)</f>
        <v>0</v>
      </c>
      <c r="J22" s="297">
        <f>VLOOKUP(B22,'KEGIATAN GURU'!$B$11:$T$90,19)</f>
        <v>0</v>
      </c>
      <c r="K22" s="35"/>
      <c r="L22" s="35"/>
      <c r="M22" s="34"/>
      <c r="N22" s="35"/>
      <c r="O22" s="35"/>
      <c r="P22" s="712" t="s">
        <v>15</v>
      </c>
      <c r="Q22" s="4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3" t="s">
        <v>131</v>
      </c>
      <c r="AU22" s="41"/>
    </row>
    <row r="23" spans="2:47" s="42" customFormat="1" ht="19.5" customHeight="1" x14ac:dyDescent="0.2">
      <c r="D23" s="44"/>
      <c r="E23" s="1008" t="s">
        <v>132</v>
      </c>
      <c r="F23" s="1008"/>
      <c r="G23" s="1008"/>
      <c r="H23" s="1008"/>
      <c r="I23" s="296">
        <f>SUM(I11:I22)</f>
        <v>12.45</v>
      </c>
      <c r="J23" s="296">
        <f>SUM(J11:J22)</f>
        <v>12.45</v>
      </c>
      <c r="K23" s="1005"/>
      <c r="L23" s="1005"/>
      <c r="M23" s="1005"/>
      <c r="N23" s="1005"/>
      <c r="O23" s="1005"/>
      <c r="P23" s="1005"/>
      <c r="Q23" s="4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37" t="s">
        <v>133</v>
      </c>
      <c r="AU23" s="41"/>
    </row>
    <row r="24" spans="2:47" s="42" customFormat="1" ht="21" customHeight="1" x14ac:dyDescent="0.2">
      <c r="D24" s="299"/>
      <c r="E24" s="300" t="s">
        <v>19</v>
      </c>
      <c r="F24" s="301"/>
      <c r="G24" s="302"/>
      <c r="H24" s="303"/>
      <c r="I24" s="304"/>
      <c r="J24" s="305"/>
      <c r="K24" s="45"/>
      <c r="L24" s="45"/>
      <c r="M24" s="45"/>
      <c r="N24" s="45"/>
      <c r="O24" s="45"/>
      <c r="P24" s="46"/>
      <c r="Q24" s="4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37"/>
      <c r="AU24" s="41"/>
    </row>
    <row r="25" spans="2:47" s="42" customFormat="1" ht="14.25" customHeight="1" x14ac:dyDescent="0.2">
      <c r="D25" s="306">
        <v>1</v>
      </c>
      <c r="E25" s="1006" t="s">
        <v>17</v>
      </c>
      <c r="F25" s="1006"/>
      <c r="G25" s="1006"/>
      <c r="H25" s="1006"/>
      <c r="I25" s="304"/>
      <c r="J25" s="305"/>
      <c r="K25" s="45"/>
      <c r="L25" s="45"/>
      <c r="M25" s="45"/>
      <c r="N25" s="45"/>
      <c r="O25" s="45"/>
      <c r="P25" s="46"/>
      <c r="Q25" s="4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37"/>
      <c r="AU25" s="41"/>
    </row>
    <row r="26" spans="2:47" s="53" customFormat="1" ht="15.75" customHeight="1" x14ac:dyDescent="0.2">
      <c r="D26" s="306">
        <v>2</v>
      </c>
      <c r="E26" s="1006" t="s">
        <v>18</v>
      </c>
      <c r="F26" s="1006"/>
      <c r="G26" s="1006"/>
      <c r="H26" s="1006"/>
      <c r="I26" s="48"/>
      <c r="J26" s="49"/>
      <c r="K26" s="49"/>
      <c r="L26" s="49"/>
      <c r="M26" s="49"/>
      <c r="N26" s="49"/>
      <c r="O26" s="49"/>
      <c r="P26" s="307"/>
      <c r="Q26" s="50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2" t="s">
        <v>134</v>
      </c>
      <c r="AU26" s="51"/>
    </row>
    <row r="27" spans="2:47" s="53" customFormat="1" ht="15.75" customHeight="1" x14ac:dyDescent="0.2">
      <c r="D27" s="308"/>
      <c r="E27" s="309"/>
      <c r="F27" s="309"/>
      <c r="G27" s="309"/>
      <c r="H27" s="309"/>
      <c r="I27" s="54"/>
      <c r="J27" s="54"/>
      <c r="K27" s="54"/>
      <c r="L27" s="54"/>
      <c r="M27" s="54"/>
      <c r="N27" s="54"/>
      <c r="O27" s="54"/>
      <c r="P27" s="54"/>
      <c r="Q27" s="50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2"/>
      <c r="AU27" s="51"/>
    </row>
    <row r="28" spans="2:47" s="53" customFormat="1" x14ac:dyDescent="0.2">
      <c r="D28" s="310"/>
      <c r="E28" s="311"/>
      <c r="F28" s="310"/>
      <c r="G28" s="312"/>
      <c r="H28" s="54"/>
      <c r="I28" s="54"/>
      <c r="J28" s="54"/>
      <c r="K28" s="54"/>
      <c r="L28" s="54"/>
      <c r="M28" s="55" t="s">
        <v>135</v>
      </c>
      <c r="N28" s="125" t="str">
        <f>PERIODE!E5</f>
        <v>04 Januari 2021</v>
      </c>
      <c r="O28" s="55"/>
      <c r="P28" s="54"/>
      <c r="Q28" s="50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2" t="s">
        <v>115</v>
      </c>
      <c r="AU28" s="51"/>
    </row>
    <row r="29" spans="2:47" s="53" customFormat="1" x14ac:dyDescent="0.2">
      <c r="D29" s="54"/>
      <c r="E29" s="54"/>
      <c r="F29" s="54" t="s">
        <v>136</v>
      </c>
      <c r="G29" s="54"/>
      <c r="H29" s="54"/>
      <c r="I29" s="54"/>
      <c r="J29" s="54"/>
      <c r="K29" s="54"/>
      <c r="L29" s="54"/>
      <c r="M29" s="54" t="s">
        <v>137</v>
      </c>
      <c r="N29" s="54"/>
      <c r="O29" s="54"/>
      <c r="P29" s="54"/>
      <c r="Q29" s="50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2" t="s">
        <v>138</v>
      </c>
      <c r="AU29" s="51"/>
    </row>
    <row r="30" spans="2:47" s="53" customFormat="1" x14ac:dyDescent="0.2"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0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43" t="s">
        <v>139</v>
      </c>
      <c r="AU30" s="51"/>
    </row>
    <row r="31" spans="2:47" s="53" customFormat="1" ht="20.25" customHeight="1" x14ac:dyDescent="0.2"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0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37" t="s">
        <v>140</v>
      </c>
      <c r="AU31" s="51"/>
    </row>
    <row r="32" spans="2:47" s="53" customFormat="1" ht="15" customHeight="1" x14ac:dyDescent="0.2">
      <c r="D32" s="54"/>
      <c r="E32" s="54"/>
      <c r="F32" s="55" t="str">
        <f>'DATA SKP'!E11</f>
        <v>Etyk Nurhayati, S.PdI, M.Pd</v>
      </c>
      <c r="G32" s="56"/>
      <c r="H32" s="56"/>
      <c r="I32" s="57"/>
      <c r="J32" s="54"/>
      <c r="K32" s="54"/>
      <c r="L32" s="54"/>
      <c r="M32" s="55" t="str">
        <f>'DATA SKP'!E5</f>
        <v>Sirajudin, S.Pd.</v>
      </c>
      <c r="N32" s="55"/>
      <c r="O32" s="55"/>
      <c r="P32" s="55"/>
      <c r="Q32" s="50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37" t="s">
        <v>141</v>
      </c>
      <c r="AU32" s="51"/>
    </row>
    <row r="33" spans="4:47" s="53" customFormat="1" ht="10.5" customHeight="1" x14ac:dyDescent="0.2">
      <c r="D33" s="54"/>
      <c r="E33" s="54"/>
      <c r="F33" s="55" t="s">
        <v>3</v>
      </c>
      <c r="G33" s="55" t="str">
        <f>'DATA SKP'!E12</f>
        <v>19800930 200501 2 007</v>
      </c>
      <c r="H33" s="55"/>
      <c r="I33" s="54"/>
      <c r="J33" s="54"/>
      <c r="K33" s="54"/>
      <c r="L33" s="58"/>
      <c r="M33" s="1007" t="str">
        <f>"NIP. "&amp;N5</f>
        <v>NIP. 19730115 200710 1 001</v>
      </c>
      <c r="N33" s="1007"/>
      <c r="O33" s="1007"/>
      <c r="P33" s="1007"/>
      <c r="Q33" s="50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37" t="s">
        <v>142</v>
      </c>
      <c r="AU33" s="51"/>
    </row>
    <row r="34" spans="4:47" s="9" customFormat="1" x14ac:dyDescent="0.2"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37" t="s">
        <v>143</v>
      </c>
      <c r="AU34" s="59"/>
    </row>
    <row r="35" spans="4:47" hidden="1" x14ac:dyDescent="0.2"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1" t="s">
        <v>144</v>
      </c>
      <c r="AU35" s="60"/>
    </row>
    <row r="36" spans="4:47" hidden="1" x14ac:dyDescent="0.2"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1" t="s">
        <v>145</v>
      </c>
      <c r="AU36" s="60"/>
    </row>
    <row r="37" spans="4:47" hidden="1" x14ac:dyDescent="0.2"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1" t="s">
        <v>146</v>
      </c>
      <c r="AU37" s="60"/>
    </row>
    <row r="38" spans="4:47" hidden="1" x14ac:dyDescent="0.2"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1" t="s">
        <v>147</v>
      </c>
      <c r="AU38" s="60"/>
    </row>
    <row r="39" spans="4:47" hidden="1" x14ac:dyDescent="0.2"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1" t="s">
        <v>148</v>
      </c>
      <c r="AU39" s="60"/>
    </row>
    <row r="40" spans="4:47" hidden="1" x14ac:dyDescent="0.2"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1" t="s">
        <v>149</v>
      </c>
      <c r="AU40" s="60"/>
    </row>
    <row r="41" spans="4:47" hidden="1" x14ac:dyDescent="0.2"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2" t="s">
        <v>150</v>
      </c>
      <c r="AU41" s="60"/>
    </row>
    <row r="42" spans="4:47" hidden="1" x14ac:dyDescent="0.2"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2" t="s">
        <v>117</v>
      </c>
      <c r="AU42" s="60"/>
    </row>
    <row r="43" spans="4:47" hidden="1" x14ac:dyDescent="0.2"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2" t="s">
        <v>120</v>
      </c>
      <c r="AU43" s="60"/>
    </row>
    <row r="44" spans="4:47" hidden="1" x14ac:dyDescent="0.2"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2" t="s">
        <v>151</v>
      </c>
      <c r="AU44" s="60"/>
    </row>
    <row r="45" spans="4:47" hidden="1" x14ac:dyDescent="0.2"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2" t="s">
        <v>152</v>
      </c>
      <c r="AU45" s="60"/>
    </row>
    <row r="46" spans="4:47" hidden="1" x14ac:dyDescent="0.2"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2" t="s">
        <v>153</v>
      </c>
      <c r="AU46" s="60"/>
    </row>
    <row r="47" spans="4:47" hidden="1" x14ac:dyDescent="0.2"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2" t="s">
        <v>154</v>
      </c>
      <c r="AU47" s="60"/>
    </row>
    <row r="48" spans="4:47" hidden="1" x14ac:dyDescent="0.2"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2" t="s">
        <v>155</v>
      </c>
      <c r="AU48" s="60"/>
    </row>
    <row r="49" spans="19:47" hidden="1" x14ac:dyDescent="0.2"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2" t="s">
        <v>156</v>
      </c>
      <c r="AU49" s="60"/>
    </row>
    <row r="50" spans="19:47" hidden="1" x14ac:dyDescent="0.2"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2" t="s">
        <v>157</v>
      </c>
      <c r="AU50" s="60"/>
    </row>
    <row r="51" spans="19:47" hidden="1" x14ac:dyDescent="0.2"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2" t="s">
        <v>158</v>
      </c>
      <c r="AU51" s="60"/>
    </row>
    <row r="52" spans="19:47" hidden="1" x14ac:dyDescent="0.2"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2" t="s">
        <v>159</v>
      </c>
      <c r="AU52" s="60"/>
    </row>
    <row r="53" spans="19:47" hidden="1" x14ac:dyDescent="0.2"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2" t="s">
        <v>160</v>
      </c>
      <c r="AU53" s="60"/>
    </row>
    <row r="54" spans="19:47" hidden="1" x14ac:dyDescent="0.2"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2" t="s">
        <v>161</v>
      </c>
      <c r="AU54" s="60"/>
    </row>
    <row r="55" spans="19:47" hidden="1" x14ac:dyDescent="0.2"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2" t="s">
        <v>162</v>
      </c>
      <c r="AU55" s="60"/>
    </row>
    <row r="56" spans="19:47" hidden="1" x14ac:dyDescent="0.2"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2" t="s">
        <v>163</v>
      </c>
      <c r="AU56" s="60"/>
    </row>
    <row r="57" spans="19:47" hidden="1" x14ac:dyDescent="0.2"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2" t="s">
        <v>164</v>
      </c>
      <c r="AU57" s="60"/>
    </row>
    <row r="58" spans="19:47" hidden="1" x14ac:dyDescent="0.2"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2" t="s">
        <v>165</v>
      </c>
      <c r="AU58" s="60"/>
    </row>
    <row r="59" spans="19:47" hidden="1" x14ac:dyDescent="0.2"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2" t="s">
        <v>166</v>
      </c>
      <c r="AU59" s="60"/>
    </row>
    <row r="60" spans="19:47" hidden="1" x14ac:dyDescent="0.2"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2" t="s">
        <v>167</v>
      </c>
      <c r="AU60" s="60"/>
    </row>
    <row r="61" spans="19:47" hidden="1" x14ac:dyDescent="0.2"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2" t="s">
        <v>168</v>
      </c>
      <c r="AU61" s="60"/>
    </row>
    <row r="62" spans="19:47" hidden="1" x14ac:dyDescent="0.2"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2" t="s">
        <v>122</v>
      </c>
      <c r="AU62" s="60"/>
    </row>
    <row r="63" spans="19:47" hidden="1" x14ac:dyDescent="0.2"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2" t="s">
        <v>169</v>
      </c>
      <c r="AU63" s="60"/>
    </row>
    <row r="64" spans="19:47" hidden="1" x14ac:dyDescent="0.2"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2" t="s">
        <v>170</v>
      </c>
      <c r="AU64" s="60"/>
    </row>
    <row r="65" spans="19:47" hidden="1" x14ac:dyDescent="0.2"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2" t="s">
        <v>171</v>
      </c>
      <c r="AU65" s="60"/>
    </row>
    <row r="66" spans="19:47" hidden="1" x14ac:dyDescent="0.2"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2" t="s">
        <v>172</v>
      </c>
      <c r="AU66" s="60"/>
    </row>
    <row r="67" spans="19:47" hidden="1" x14ac:dyDescent="0.2"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2" t="s">
        <v>173</v>
      </c>
      <c r="AU67" s="60"/>
    </row>
    <row r="68" spans="19:47" hidden="1" x14ac:dyDescent="0.2"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2" t="s">
        <v>174</v>
      </c>
      <c r="AU68" s="60"/>
    </row>
    <row r="69" spans="19:47" hidden="1" x14ac:dyDescent="0.2"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2" t="s">
        <v>175</v>
      </c>
      <c r="AU69" s="60"/>
    </row>
    <row r="70" spans="19:47" hidden="1" x14ac:dyDescent="0.2"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2" t="s">
        <v>176</v>
      </c>
      <c r="AU70" s="60"/>
    </row>
    <row r="71" spans="19:47" hidden="1" x14ac:dyDescent="0.2"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2" t="s">
        <v>177</v>
      </c>
      <c r="AU71" s="60"/>
    </row>
    <row r="72" spans="19:47" hidden="1" x14ac:dyDescent="0.2"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2" t="s">
        <v>178</v>
      </c>
      <c r="AU72" s="60"/>
    </row>
    <row r="73" spans="19:47" hidden="1" x14ac:dyDescent="0.2"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2" t="s">
        <v>179</v>
      </c>
      <c r="AU73" s="60"/>
    </row>
    <row r="74" spans="19:47" hidden="1" x14ac:dyDescent="0.2"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2" t="s">
        <v>124</v>
      </c>
      <c r="AU74" s="60"/>
    </row>
    <row r="75" spans="19:47" hidden="1" x14ac:dyDescent="0.2"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2" t="s">
        <v>180</v>
      </c>
      <c r="AU75" s="60"/>
    </row>
    <row r="76" spans="19:47" hidden="1" x14ac:dyDescent="0.2"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2" t="s">
        <v>181</v>
      </c>
      <c r="AU76" s="60"/>
    </row>
    <row r="77" spans="19:47" hidden="1" x14ac:dyDescent="0.2"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2" t="s">
        <v>182</v>
      </c>
      <c r="AU77" s="60"/>
    </row>
    <row r="78" spans="19:47" hidden="1" x14ac:dyDescent="0.2"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2" t="s">
        <v>183</v>
      </c>
      <c r="AU78" s="60"/>
    </row>
    <row r="79" spans="19:47" hidden="1" x14ac:dyDescent="0.2"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2" t="s">
        <v>184</v>
      </c>
      <c r="AU79" s="60"/>
    </row>
    <row r="80" spans="19:47" hidden="1" x14ac:dyDescent="0.2"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2" t="s">
        <v>185</v>
      </c>
      <c r="AU80" s="60"/>
    </row>
    <row r="81" spans="19:47" hidden="1" x14ac:dyDescent="0.2"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2" t="s">
        <v>186</v>
      </c>
      <c r="AU81" s="60"/>
    </row>
    <row r="82" spans="19:47" hidden="1" x14ac:dyDescent="0.2"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3" t="s">
        <v>126</v>
      </c>
      <c r="AU82" s="60"/>
    </row>
    <row r="83" spans="19:47" hidden="1" x14ac:dyDescent="0.2"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3" t="s">
        <v>187</v>
      </c>
      <c r="AU83" s="60"/>
    </row>
    <row r="84" spans="19:47" hidden="1" x14ac:dyDescent="0.2"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3" t="s">
        <v>188</v>
      </c>
      <c r="AU84" s="60"/>
    </row>
    <row r="85" spans="19:47" hidden="1" x14ac:dyDescent="0.2"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3" t="s">
        <v>189</v>
      </c>
      <c r="AU85" s="60"/>
    </row>
    <row r="86" spans="19:47" hidden="1" x14ac:dyDescent="0.2"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3" t="s">
        <v>128</v>
      </c>
      <c r="AU86" s="60"/>
    </row>
    <row r="87" spans="19:47" hidden="1" x14ac:dyDescent="0.2">
      <c r="AT87" s="63" t="s">
        <v>190</v>
      </c>
    </row>
    <row r="88" spans="19:47" hidden="1" x14ac:dyDescent="0.2">
      <c r="AT88" s="63" t="s">
        <v>191</v>
      </c>
    </row>
    <row r="89" spans="19:47" hidden="1" x14ac:dyDescent="0.2">
      <c r="AT89" s="63" t="s">
        <v>192</v>
      </c>
    </row>
    <row r="90" spans="19:47" hidden="1" x14ac:dyDescent="0.2">
      <c r="AT90" s="63" t="s">
        <v>193</v>
      </c>
    </row>
    <row r="91" spans="19:47" hidden="1" x14ac:dyDescent="0.2">
      <c r="AT91" s="63" t="s">
        <v>194</v>
      </c>
    </row>
    <row r="92" spans="19:47" hidden="1" x14ac:dyDescent="0.2">
      <c r="AT92" s="63" t="s">
        <v>195</v>
      </c>
    </row>
    <row r="93" spans="19:47" hidden="1" x14ac:dyDescent="0.2">
      <c r="AT93" s="63" t="s">
        <v>196</v>
      </c>
    </row>
    <row r="94" spans="19:47" hidden="1" x14ac:dyDescent="0.2">
      <c r="AT94" s="63" t="s">
        <v>197</v>
      </c>
    </row>
  </sheetData>
  <sheetProtection algorithmName="SHA-512" hashValue="huZ8KyE++qmVDjC2b7LiMW+k6Xfkmf/yjMj0QlJhj28ryH/ecmfl4gkdLuyMmfpJJEibsGTnI61utW7vRTLu2Q==" saltValue="q/L2ksYV9Tb/TVndv+VN7Q==" spinCount="100000" sheet="1" formatCells="0" formatColumns="0" formatRows="0" insertColumns="0"/>
  <dataConsolidate/>
  <mergeCells count="39">
    <mergeCell ref="K23:P23"/>
    <mergeCell ref="E25:H25"/>
    <mergeCell ref="E26:H26"/>
    <mergeCell ref="M33:P33"/>
    <mergeCell ref="N7:P7"/>
    <mergeCell ref="E20:H20"/>
    <mergeCell ref="E21:H21"/>
    <mergeCell ref="E16:H16"/>
    <mergeCell ref="E17:H17"/>
    <mergeCell ref="E18:H18"/>
    <mergeCell ref="E19:H19"/>
    <mergeCell ref="E22:H22"/>
    <mergeCell ref="E23:H23"/>
    <mergeCell ref="E10:H10"/>
    <mergeCell ref="E11:H11"/>
    <mergeCell ref="E12:H12"/>
    <mergeCell ref="E13:H13"/>
    <mergeCell ref="E14:H14"/>
    <mergeCell ref="E15:H15"/>
    <mergeCell ref="E7:G7"/>
    <mergeCell ref="K7:M7"/>
    <mergeCell ref="E8:G8"/>
    <mergeCell ref="K8:M8"/>
    <mergeCell ref="N8:P8"/>
    <mergeCell ref="E9:I9"/>
    <mergeCell ref="K9:L9"/>
    <mergeCell ref="N9:O9"/>
    <mergeCell ref="E5:G5"/>
    <mergeCell ref="K5:M5"/>
    <mergeCell ref="N5:P5"/>
    <mergeCell ref="E6:G6"/>
    <mergeCell ref="K6:M6"/>
    <mergeCell ref="N6:P6"/>
    <mergeCell ref="D1:P1"/>
    <mergeCell ref="E3:I3"/>
    <mergeCell ref="K3:P3"/>
    <mergeCell ref="E4:G4"/>
    <mergeCell ref="K4:M4"/>
    <mergeCell ref="N4:P4"/>
  </mergeCells>
  <phoneticPr fontId="3" type="noConversion"/>
  <dataValidations count="1">
    <dataValidation type="list" allowBlank="1" showInputMessage="1" showErrorMessage="1" sqref="B11:B22" xr:uid="{00000000-0002-0000-0500-000000000000}">
      <formula1>$AT$11:$AT$94</formula1>
    </dataValidation>
  </dataValidations>
  <printOptions horizontalCentered="1"/>
  <pageMargins left="0.59" right="0.31496062992126" top="0.44" bottom="0.39370078740157499" header="0.31496062992126" footer="0.31496062992126"/>
  <pageSetup paperSize="9" scale="90" orientation="landscape" horizontalDpi="200" verticalDpi="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E39"/>
  <sheetViews>
    <sheetView showGridLines="0" view="pageBreakPreview" zoomScale="80" zoomScaleNormal="100" zoomScaleSheetLayoutView="80" workbookViewId="0">
      <selection sqref="A1:AB1"/>
    </sheetView>
  </sheetViews>
  <sheetFormatPr defaultColWidth="9.140625" defaultRowHeight="15" x14ac:dyDescent="0.25"/>
  <cols>
    <col min="1" max="1" width="4.42578125" style="130" customWidth="1"/>
    <col min="2" max="3" width="3" style="130" customWidth="1"/>
    <col min="4" max="4" width="18.28515625" style="130" customWidth="1"/>
    <col min="5" max="5" width="40.140625" style="130" customWidth="1"/>
    <col min="6" max="6" width="8.5703125" style="130" customWidth="1"/>
    <col min="7" max="7" width="4.5703125" style="212" customWidth="1"/>
    <col min="8" max="8" width="8" style="130" customWidth="1"/>
    <col min="9" max="9" width="7.7109375" style="213" customWidth="1"/>
    <col min="10" max="10" width="5.140625" style="130" customWidth="1"/>
    <col min="11" max="11" width="5.7109375" style="130" customWidth="1"/>
    <col min="12" max="12" width="6.42578125" style="130" customWidth="1"/>
    <col min="13" max="13" width="7.140625" style="130" customWidth="1"/>
    <col min="14" max="14" width="4.85546875" style="214" customWidth="1"/>
    <col min="15" max="15" width="10.7109375" style="130" customWidth="1"/>
    <col min="16" max="16" width="8.5703125" style="130" customWidth="1"/>
    <col min="17" max="17" width="4.28515625" style="130" customWidth="1"/>
    <col min="18" max="18" width="5.140625" style="130" customWidth="1"/>
    <col min="19" max="19" width="7" style="130" customWidth="1"/>
    <col min="20" max="20" width="7.42578125" style="131" hidden="1" customWidth="1"/>
    <col min="21" max="21" width="6.85546875" style="130" hidden="1" customWidth="1"/>
    <col min="22" max="25" width="9.140625" style="130" hidden="1" customWidth="1"/>
    <col min="26" max="26" width="0.85546875" style="218" hidden="1" customWidth="1"/>
    <col min="27" max="27" width="8.42578125" style="130" customWidth="1"/>
    <col min="28" max="28" width="12" style="130" customWidth="1"/>
    <col min="29" max="16384" width="9.140625" style="126"/>
  </cols>
  <sheetData>
    <row r="1" spans="1:30" ht="18" x14ac:dyDescent="0.25">
      <c r="A1" s="1011" t="s">
        <v>289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1011"/>
      <c r="Z1" s="1011"/>
      <c r="AA1" s="1011"/>
      <c r="AB1" s="1011"/>
    </row>
    <row r="2" spans="1:30" ht="18" x14ac:dyDescent="0.2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</row>
    <row r="3" spans="1:30" ht="26.25" customHeight="1" x14ac:dyDescent="0.25">
      <c r="A3" s="128" t="s">
        <v>290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8" t="s">
        <v>2</v>
      </c>
      <c r="P3" s="826" t="s">
        <v>16</v>
      </c>
      <c r="Q3" s="128" t="str">
        <f>'DATA SKP'!E5</f>
        <v>Sirajudin, S.Pd.</v>
      </c>
      <c r="V3" s="129"/>
      <c r="W3" s="129"/>
      <c r="X3" s="129"/>
      <c r="Y3" s="129"/>
      <c r="Z3" s="129"/>
    </row>
    <row r="4" spans="1:30" ht="18" customHeight="1" x14ac:dyDescent="0.25">
      <c r="A4" s="132" t="str">
        <f>PERIODE!E6</f>
        <v>01 Januari s.d. 30 Juni 2021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8" t="s">
        <v>3</v>
      </c>
      <c r="P4" s="827" t="s">
        <v>16</v>
      </c>
      <c r="Q4" s="128" t="str">
        <f>'DATA SKP'!E6</f>
        <v>19730115 200710 1 001</v>
      </c>
      <c r="V4" s="129"/>
      <c r="W4" s="129"/>
      <c r="X4" s="129"/>
      <c r="Y4" s="129"/>
      <c r="Z4" s="129"/>
    </row>
    <row r="5" spans="1:30" ht="12.75" customHeight="1" x14ac:dyDescent="0.25">
      <c r="A5" s="133"/>
      <c r="B5" s="134"/>
      <c r="C5" s="134"/>
      <c r="D5" s="134"/>
      <c r="E5" s="134"/>
      <c r="F5" s="134"/>
      <c r="G5" s="135"/>
      <c r="H5" s="134"/>
      <c r="I5" s="136"/>
      <c r="J5" s="134"/>
      <c r="K5" s="134"/>
      <c r="L5" s="134"/>
      <c r="M5" s="134"/>
      <c r="N5" s="137"/>
      <c r="O5" s="134"/>
      <c r="P5" s="134"/>
      <c r="Q5" s="134"/>
      <c r="R5" s="134"/>
      <c r="S5" s="133"/>
      <c r="T5" s="138"/>
      <c r="U5" s="133"/>
      <c r="V5" s="134"/>
      <c r="W5" s="134"/>
      <c r="X5" s="134"/>
      <c r="Y5" s="134"/>
      <c r="Z5" s="139"/>
      <c r="AA5" s="134"/>
      <c r="AB5" s="134"/>
    </row>
    <row r="6" spans="1:30" ht="15" customHeight="1" x14ac:dyDescent="0.25">
      <c r="A6" s="1012" t="s">
        <v>1</v>
      </c>
      <c r="B6" s="1014" t="s">
        <v>291</v>
      </c>
      <c r="C6" s="1015"/>
      <c r="D6" s="1015"/>
      <c r="E6" s="1016"/>
      <c r="F6" s="1012" t="s">
        <v>107</v>
      </c>
      <c r="G6" s="1020" t="s">
        <v>7</v>
      </c>
      <c r="H6" s="1020"/>
      <c r="I6" s="1020"/>
      <c r="J6" s="1020"/>
      <c r="K6" s="1020"/>
      <c r="L6" s="1020"/>
      <c r="M6" s="1021" t="s">
        <v>107</v>
      </c>
      <c r="N6" s="1022" t="s">
        <v>10</v>
      </c>
      <c r="O6" s="1023"/>
      <c r="P6" s="1023"/>
      <c r="Q6" s="1023"/>
      <c r="R6" s="1023"/>
      <c r="S6" s="1024"/>
      <c r="T6" s="140"/>
      <c r="U6" s="141"/>
      <c r="V6" s="142" t="s">
        <v>292</v>
      </c>
      <c r="W6" s="142"/>
      <c r="X6" s="142"/>
      <c r="Y6" s="142"/>
      <c r="Z6" s="142"/>
      <c r="AA6" s="1025" t="s">
        <v>293</v>
      </c>
      <c r="AB6" s="1026" t="s">
        <v>12</v>
      </c>
    </row>
    <row r="7" spans="1:30" ht="30" customHeight="1" x14ac:dyDescent="0.25">
      <c r="A7" s="1013"/>
      <c r="B7" s="1017"/>
      <c r="C7" s="1018"/>
      <c r="D7" s="1018"/>
      <c r="E7" s="1019"/>
      <c r="F7" s="1013"/>
      <c r="G7" s="1028" t="s">
        <v>61</v>
      </c>
      <c r="H7" s="1029"/>
      <c r="I7" s="143" t="s">
        <v>294</v>
      </c>
      <c r="J7" s="1033" t="s">
        <v>8</v>
      </c>
      <c r="K7" s="1034"/>
      <c r="L7" s="143" t="s">
        <v>110</v>
      </c>
      <c r="M7" s="1021"/>
      <c r="N7" s="1028" t="s">
        <v>61</v>
      </c>
      <c r="O7" s="1029"/>
      <c r="P7" s="144" t="s">
        <v>294</v>
      </c>
      <c r="Q7" s="1033" t="s">
        <v>8</v>
      </c>
      <c r="R7" s="1034"/>
      <c r="S7" s="144" t="s">
        <v>110</v>
      </c>
      <c r="T7" s="145" t="s">
        <v>295</v>
      </c>
      <c r="U7" s="144" t="s">
        <v>296</v>
      </c>
      <c r="V7" s="146" t="s">
        <v>297</v>
      </c>
      <c r="W7" s="146" t="s">
        <v>298</v>
      </c>
      <c r="X7" s="146" t="s">
        <v>299</v>
      </c>
      <c r="Y7" s="146" t="s">
        <v>300</v>
      </c>
      <c r="Z7" s="144" t="s">
        <v>301</v>
      </c>
      <c r="AA7" s="1025"/>
      <c r="AB7" s="1027"/>
    </row>
    <row r="8" spans="1:30" ht="15.75" customHeight="1" x14ac:dyDescent="0.25">
      <c r="A8" s="147">
        <v>1</v>
      </c>
      <c r="B8" s="1035">
        <v>2</v>
      </c>
      <c r="C8" s="1036"/>
      <c r="D8" s="1036"/>
      <c r="E8" s="1037"/>
      <c r="F8" s="147">
        <v>3</v>
      </c>
      <c r="G8" s="1038">
        <v>4</v>
      </c>
      <c r="H8" s="1039"/>
      <c r="I8" s="148">
        <v>5</v>
      </c>
      <c r="J8" s="1038">
        <v>6</v>
      </c>
      <c r="K8" s="1039"/>
      <c r="L8" s="148">
        <v>7</v>
      </c>
      <c r="M8" s="149">
        <v>8</v>
      </c>
      <c r="N8" s="1038">
        <v>9</v>
      </c>
      <c r="O8" s="1039"/>
      <c r="P8" s="148">
        <v>10</v>
      </c>
      <c r="Q8" s="1038">
        <v>11</v>
      </c>
      <c r="R8" s="1039"/>
      <c r="S8" s="148">
        <v>12</v>
      </c>
      <c r="T8" s="150">
        <v>13</v>
      </c>
      <c r="U8" s="148">
        <v>14</v>
      </c>
      <c r="V8" s="151"/>
      <c r="W8" s="151"/>
      <c r="X8" s="151"/>
      <c r="Y8" s="151"/>
      <c r="Z8" s="148">
        <v>15</v>
      </c>
      <c r="AA8" s="148">
        <v>13</v>
      </c>
      <c r="AB8" s="152">
        <v>14</v>
      </c>
    </row>
    <row r="9" spans="1:30" ht="26.25" hidden="1" customHeight="1" x14ac:dyDescent="0.25">
      <c r="A9" s="153" t="s">
        <v>302</v>
      </c>
      <c r="B9" s="1040" t="s">
        <v>303</v>
      </c>
      <c r="C9" s="1041"/>
      <c r="D9" s="1041"/>
      <c r="E9" s="1042"/>
      <c r="F9" s="154"/>
      <c r="G9" s="155"/>
      <c r="H9" s="155"/>
      <c r="I9" s="156"/>
      <c r="J9" s="157"/>
      <c r="K9" s="157"/>
      <c r="L9" s="158"/>
      <c r="M9" s="158"/>
      <c r="N9" s="159"/>
      <c r="O9" s="155"/>
      <c r="P9" s="160"/>
      <c r="Q9" s="157"/>
      <c r="R9" s="157"/>
      <c r="S9" s="158"/>
      <c r="T9" s="161"/>
      <c r="U9" s="161"/>
      <c r="V9" s="158"/>
      <c r="W9" s="158"/>
      <c r="X9" s="158"/>
      <c r="Y9" s="158"/>
      <c r="Z9" s="162"/>
      <c r="AA9" s="163"/>
      <c r="AB9" s="162"/>
    </row>
    <row r="10" spans="1:30" ht="39.6" customHeight="1" x14ac:dyDescent="0.25">
      <c r="A10" s="96">
        <v>1</v>
      </c>
      <c r="B10" s="1030" t="str">
        <f>'FORM SKP'!E11</f>
        <v>Merencanakan dan melaksanakan pembelajaran, mengevaluasi dan menilai hasil pembelajaran, menganalisis hasil pembelajaran, melaksanakan tindak lanjut hasil penilaian. (05)</v>
      </c>
      <c r="C10" s="1031"/>
      <c r="D10" s="1031"/>
      <c r="E10" s="1032"/>
      <c r="F10" s="164">
        <f>'FORM SKP'!I11</f>
        <v>10.5</v>
      </c>
      <c r="G10" s="165">
        <f>'FORM SKP'!K11</f>
        <v>1</v>
      </c>
      <c r="H10" s="165" t="str">
        <f>'FORM SKP'!L11</f>
        <v>Laporan</v>
      </c>
      <c r="I10" s="165">
        <f>'FORM SKP'!M11</f>
        <v>100</v>
      </c>
      <c r="J10" s="165">
        <f>'FORM SKP'!N11</f>
        <v>6</v>
      </c>
      <c r="K10" s="165" t="str">
        <f>'FORM SKP'!O11</f>
        <v>bln</v>
      </c>
      <c r="L10" s="711" t="str">
        <f>'FORM SKP'!P11</f>
        <v>-</v>
      </c>
      <c r="M10" s="166">
        <v>0</v>
      </c>
      <c r="N10" s="167">
        <v>1</v>
      </c>
      <c r="O10" s="168" t="str">
        <f t="shared" ref="O10:O15" si="0">H10</f>
        <v>Laporan</v>
      </c>
      <c r="P10" s="169">
        <v>80</v>
      </c>
      <c r="Q10" s="168">
        <v>6</v>
      </c>
      <c r="R10" s="168" t="str">
        <f t="shared" ref="R10:R15" si="1">K10</f>
        <v>bln</v>
      </c>
      <c r="S10" s="166"/>
      <c r="T10" s="170">
        <f t="shared" ref="T10:T18" si="2">IF(OR(N10="",G10=""),"",N10/G10*100)</f>
        <v>100</v>
      </c>
      <c r="U10" s="170">
        <f t="shared" ref="U10:U15" si="3">IF(OR(P10=0,I10=0),"",P10/I10*100)</f>
        <v>80</v>
      </c>
      <c r="V10" s="166">
        <f t="shared" ref="V10:V15" si="4">IF(AND(Q10=0,J10=0),"",100-(Q10/J10*100))</f>
        <v>0</v>
      </c>
      <c r="W10" s="166">
        <f t="shared" ref="W10:W18" si="5">IF(AND(J10=0,Q10=0),"",(1.76*J10-Q10)/J10*100)</f>
        <v>76.000000000000014</v>
      </c>
      <c r="X10" s="166">
        <f t="shared" ref="X10:X18" si="6">IF(AND(Q10=0,J10=0),"",100-(Q10/J10*100))</f>
        <v>0</v>
      </c>
      <c r="Y10" s="166">
        <f t="shared" ref="Y10:Y18" si="7">IF(AND(J10=0,Q10=0),"",76-(((1.76*J10-Q10)/J10*100)-100))</f>
        <v>99.999999999999986</v>
      </c>
      <c r="Z10" s="171">
        <f t="shared" ref="Z10:Z15" si="8">IF(V10&lt;=24,W10,Y10)</f>
        <v>76.000000000000014</v>
      </c>
      <c r="AA10" s="172">
        <f t="shared" ref="AA10:AA18" si="9">IF(AND(T10="",U10="",Z10=""),"",T10+U10+Z10)</f>
        <v>256</v>
      </c>
      <c r="AB10" s="171">
        <f t="shared" ref="AB10:AB18" si="10">IF(AA10="","",AA10/3)</f>
        <v>85.333333333333329</v>
      </c>
      <c r="AD10" s="173"/>
    </row>
    <row r="11" spans="1:30" ht="18.600000000000001" customHeight="1" x14ac:dyDescent="0.25">
      <c r="A11" s="64">
        <v>2</v>
      </c>
      <c r="B11" s="1030" t="str">
        <f>'FORM SKP'!E12</f>
        <v>Menjadi peserta pada kegiatan ilmiah. (27)</v>
      </c>
      <c r="C11" s="1031"/>
      <c r="D11" s="1031"/>
      <c r="E11" s="1032"/>
      <c r="F11" s="164">
        <f>'FORM SKP'!I12</f>
        <v>0.1</v>
      </c>
      <c r="G11" s="165">
        <f>'FORM SKP'!K12</f>
        <v>1</v>
      </c>
      <c r="H11" s="165" t="str">
        <f>'FORM SKP'!L12</f>
        <v>Sertifikat</v>
      </c>
      <c r="I11" s="165">
        <f>'FORM SKP'!M12</f>
        <v>100</v>
      </c>
      <c r="J11" s="165">
        <f>'FORM SKP'!N12</f>
        <v>6</v>
      </c>
      <c r="K11" s="165" t="str">
        <f>'FORM SKP'!O12</f>
        <v>bln</v>
      </c>
      <c r="L11" s="711" t="str">
        <f>'FORM SKP'!P12</f>
        <v>-</v>
      </c>
      <c r="M11" s="166">
        <v>0</v>
      </c>
      <c r="N11" s="168">
        <v>1</v>
      </c>
      <c r="O11" s="168" t="str">
        <f t="shared" si="0"/>
        <v>Sertifikat</v>
      </c>
      <c r="P11" s="169">
        <v>80</v>
      </c>
      <c r="Q11" s="168">
        <v>6</v>
      </c>
      <c r="R11" s="168" t="str">
        <f t="shared" si="1"/>
        <v>bln</v>
      </c>
      <c r="S11" s="166"/>
      <c r="T11" s="170">
        <f t="shared" si="2"/>
        <v>100</v>
      </c>
      <c r="U11" s="170">
        <f t="shared" si="3"/>
        <v>80</v>
      </c>
      <c r="V11" s="166">
        <f t="shared" si="4"/>
        <v>0</v>
      </c>
      <c r="W11" s="166">
        <f t="shared" si="5"/>
        <v>76.000000000000014</v>
      </c>
      <c r="X11" s="166">
        <f t="shared" si="6"/>
        <v>0</v>
      </c>
      <c r="Y11" s="166">
        <f t="shared" si="7"/>
        <v>99.999999999999986</v>
      </c>
      <c r="Z11" s="171">
        <f t="shared" si="8"/>
        <v>76.000000000000014</v>
      </c>
      <c r="AA11" s="172">
        <f t="shared" si="9"/>
        <v>256</v>
      </c>
      <c r="AB11" s="171">
        <f t="shared" si="10"/>
        <v>85.333333333333329</v>
      </c>
      <c r="AD11" s="173"/>
    </row>
    <row r="12" spans="1:30" ht="19.899999999999999" customHeight="1" x14ac:dyDescent="0.25">
      <c r="A12" s="96">
        <v>3</v>
      </c>
      <c r="B12" s="1030" t="str">
        <f>'FORM SKP'!E13</f>
        <v>Kegiatan kolektif lainnya yang sesuai dengan tugas dan kewajiban guru. (28)</v>
      </c>
      <c r="C12" s="1031"/>
      <c r="D12" s="1031"/>
      <c r="E12" s="1032"/>
      <c r="F12" s="164">
        <f>'FORM SKP'!I13</f>
        <v>0.1</v>
      </c>
      <c r="G12" s="165">
        <f>'FORM SKP'!K13</f>
        <v>1</v>
      </c>
      <c r="H12" s="165" t="str">
        <f>'FORM SKP'!L13</f>
        <v>Surat Tugas</v>
      </c>
      <c r="I12" s="165">
        <f>'FORM SKP'!M13</f>
        <v>100</v>
      </c>
      <c r="J12" s="165">
        <f>'FORM SKP'!N13</f>
        <v>6</v>
      </c>
      <c r="K12" s="165" t="str">
        <f>'FORM SKP'!O13</f>
        <v>bln</v>
      </c>
      <c r="L12" s="711" t="str">
        <f>'FORM SKP'!P13</f>
        <v>-</v>
      </c>
      <c r="M12" s="166">
        <v>0.1</v>
      </c>
      <c r="N12" s="168">
        <v>1</v>
      </c>
      <c r="O12" s="168" t="str">
        <f t="shared" si="0"/>
        <v>Surat Tugas</v>
      </c>
      <c r="P12" s="169">
        <v>80</v>
      </c>
      <c r="Q12" s="168">
        <v>6</v>
      </c>
      <c r="R12" s="168" t="str">
        <f t="shared" si="1"/>
        <v>bln</v>
      </c>
      <c r="S12" s="166"/>
      <c r="T12" s="170">
        <f t="shared" si="2"/>
        <v>100</v>
      </c>
      <c r="U12" s="170">
        <f t="shared" si="3"/>
        <v>80</v>
      </c>
      <c r="V12" s="166">
        <f t="shared" si="4"/>
        <v>0</v>
      </c>
      <c r="W12" s="166">
        <f t="shared" si="5"/>
        <v>76.000000000000014</v>
      </c>
      <c r="X12" s="166">
        <f t="shared" si="6"/>
        <v>0</v>
      </c>
      <c r="Y12" s="166">
        <f t="shared" si="7"/>
        <v>99.999999999999986</v>
      </c>
      <c r="Z12" s="174">
        <f t="shared" si="8"/>
        <v>76.000000000000014</v>
      </c>
      <c r="AA12" s="172">
        <f t="shared" si="9"/>
        <v>256</v>
      </c>
      <c r="AB12" s="171">
        <f t="shared" si="10"/>
        <v>85.333333333333329</v>
      </c>
      <c r="AD12" s="173"/>
    </row>
    <row r="13" spans="1:30" ht="24" customHeight="1" x14ac:dyDescent="0.25">
      <c r="A13" s="64">
        <v>4</v>
      </c>
      <c r="B13" s="1030" t="str">
        <f>'FORM SKP'!E14</f>
        <v>Membuat alat peraga kategori sederhana. (59)</v>
      </c>
      <c r="C13" s="1031"/>
      <c r="D13" s="1031"/>
      <c r="E13" s="1032"/>
      <c r="F13" s="164">
        <f>'FORM SKP'!I14</f>
        <v>1</v>
      </c>
      <c r="G13" s="165">
        <f>'FORM SKP'!K14</f>
        <v>1</v>
      </c>
      <c r="H13" s="165" t="str">
        <f>'FORM SKP'!L14</f>
        <v>Video</v>
      </c>
      <c r="I13" s="165">
        <f>'FORM SKP'!M14</f>
        <v>100</v>
      </c>
      <c r="J13" s="165">
        <f>'FORM SKP'!N14</f>
        <v>6</v>
      </c>
      <c r="K13" s="165" t="str">
        <f>'FORM SKP'!O14</f>
        <v>bln</v>
      </c>
      <c r="L13" s="711" t="str">
        <f>'FORM SKP'!P14</f>
        <v>-</v>
      </c>
      <c r="M13" s="166">
        <v>1</v>
      </c>
      <c r="N13" s="168">
        <v>1</v>
      </c>
      <c r="O13" s="168" t="str">
        <f t="shared" si="0"/>
        <v>Video</v>
      </c>
      <c r="P13" s="169">
        <v>80</v>
      </c>
      <c r="Q13" s="168">
        <v>6</v>
      </c>
      <c r="R13" s="168" t="str">
        <f t="shared" si="1"/>
        <v>bln</v>
      </c>
      <c r="S13" s="166"/>
      <c r="T13" s="170">
        <f t="shared" si="2"/>
        <v>100</v>
      </c>
      <c r="U13" s="170">
        <f t="shared" si="3"/>
        <v>80</v>
      </c>
      <c r="V13" s="166">
        <f t="shared" si="4"/>
        <v>0</v>
      </c>
      <c r="W13" s="166">
        <f t="shared" si="5"/>
        <v>76.000000000000014</v>
      </c>
      <c r="X13" s="166">
        <f t="shared" si="6"/>
        <v>0</v>
      </c>
      <c r="Y13" s="166">
        <f t="shared" si="7"/>
        <v>99.999999999999986</v>
      </c>
      <c r="Z13" s="171">
        <f t="shared" si="8"/>
        <v>76.000000000000014</v>
      </c>
      <c r="AA13" s="172">
        <f t="shared" si="9"/>
        <v>256</v>
      </c>
      <c r="AB13" s="171">
        <f t="shared" si="10"/>
        <v>85.333333333333329</v>
      </c>
      <c r="AD13" s="173"/>
    </row>
    <row r="14" spans="1:30" ht="24.6" customHeight="1" x14ac:dyDescent="0.25">
      <c r="A14" s="96">
        <v>5</v>
      </c>
      <c r="B14" s="1030" t="str">
        <f>'FORM SKP'!E15</f>
        <v>Menjadi anggota aktif organisasi profesi (PGRI, ABKIN dan sejenisnya). (71)</v>
      </c>
      <c r="C14" s="1031"/>
      <c r="D14" s="1031"/>
      <c r="E14" s="1032"/>
      <c r="F14" s="164">
        <f>'FORM SKP'!I15</f>
        <v>0.75</v>
      </c>
      <c r="G14" s="165">
        <f>'FORM SKP'!K15</f>
        <v>1</v>
      </c>
      <c r="H14" s="165" t="str">
        <f>'FORM SKP'!L15</f>
        <v>KTA</v>
      </c>
      <c r="I14" s="165">
        <f>'FORM SKP'!M15</f>
        <v>100</v>
      </c>
      <c r="J14" s="165">
        <f>'FORM SKP'!N15</f>
        <v>6</v>
      </c>
      <c r="K14" s="165" t="str">
        <f>'FORM SKP'!O15</f>
        <v>bln</v>
      </c>
      <c r="L14" s="711" t="str">
        <f>'FORM SKP'!P15</f>
        <v>-</v>
      </c>
      <c r="M14" s="166">
        <v>0.75</v>
      </c>
      <c r="N14" s="168">
        <v>1</v>
      </c>
      <c r="O14" s="168" t="str">
        <f t="shared" si="0"/>
        <v>KTA</v>
      </c>
      <c r="P14" s="169">
        <v>80</v>
      </c>
      <c r="Q14" s="168">
        <v>6</v>
      </c>
      <c r="R14" s="168" t="str">
        <f t="shared" si="1"/>
        <v>bln</v>
      </c>
      <c r="S14" s="166"/>
      <c r="T14" s="170">
        <f t="shared" si="2"/>
        <v>100</v>
      </c>
      <c r="U14" s="170">
        <f t="shared" si="3"/>
        <v>80</v>
      </c>
      <c r="V14" s="166">
        <f t="shared" si="4"/>
        <v>0</v>
      </c>
      <c r="W14" s="166">
        <f t="shared" si="5"/>
        <v>76.000000000000014</v>
      </c>
      <c r="X14" s="166">
        <f t="shared" si="6"/>
        <v>0</v>
      </c>
      <c r="Y14" s="166">
        <f t="shared" si="7"/>
        <v>99.999999999999986</v>
      </c>
      <c r="Z14" s="174">
        <f t="shared" si="8"/>
        <v>76.000000000000014</v>
      </c>
      <c r="AA14" s="172">
        <f t="shared" si="9"/>
        <v>256</v>
      </c>
      <c r="AB14" s="171">
        <f t="shared" si="10"/>
        <v>85.333333333333329</v>
      </c>
      <c r="AD14" s="173"/>
    </row>
    <row r="15" spans="1:30" ht="21.6" hidden="1" customHeight="1" x14ac:dyDescent="0.25">
      <c r="A15" s="64">
        <v>6</v>
      </c>
      <c r="B15" s="1030" t="str">
        <f>'FORM SKP'!E16</f>
        <v>-</v>
      </c>
      <c r="C15" s="1031"/>
      <c r="D15" s="1031"/>
      <c r="E15" s="1032"/>
      <c r="F15" s="164">
        <f>'FORM SKP'!I16</f>
        <v>0</v>
      </c>
      <c r="G15" s="165">
        <f>'FORM SKP'!K16</f>
        <v>0</v>
      </c>
      <c r="H15" s="165">
        <f>'FORM SKP'!L16</f>
        <v>0</v>
      </c>
      <c r="I15" s="165">
        <f>'FORM SKP'!M16</f>
        <v>0</v>
      </c>
      <c r="J15" s="165">
        <f>'FORM SKP'!N16</f>
        <v>0</v>
      </c>
      <c r="K15" s="165">
        <f>'FORM SKP'!O16</f>
        <v>0</v>
      </c>
      <c r="L15" s="711" t="str">
        <f>'FORM SKP'!P16</f>
        <v>-</v>
      </c>
      <c r="M15" s="166">
        <f t="shared" ref="M14:M21" si="11">F15*N15</f>
        <v>0</v>
      </c>
      <c r="N15" s="168"/>
      <c r="O15" s="168">
        <f t="shared" si="0"/>
        <v>0</v>
      </c>
      <c r="P15" s="169"/>
      <c r="Q15" s="168"/>
      <c r="R15" s="168">
        <f t="shared" si="1"/>
        <v>0</v>
      </c>
      <c r="S15" s="166"/>
      <c r="T15" s="170" t="str">
        <f t="shared" si="2"/>
        <v/>
      </c>
      <c r="U15" s="170" t="str">
        <f t="shared" si="3"/>
        <v/>
      </c>
      <c r="V15" s="166" t="str">
        <f t="shared" si="4"/>
        <v/>
      </c>
      <c r="W15" s="166" t="str">
        <f t="shared" si="5"/>
        <v/>
      </c>
      <c r="X15" s="166" t="str">
        <f t="shared" si="6"/>
        <v/>
      </c>
      <c r="Y15" s="166" t="str">
        <f t="shared" si="7"/>
        <v/>
      </c>
      <c r="Z15" s="171" t="str">
        <f t="shared" si="8"/>
        <v/>
      </c>
      <c r="AA15" s="172" t="str">
        <f t="shared" si="9"/>
        <v/>
      </c>
      <c r="AB15" s="171" t="str">
        <f t="shared" si="10"/>
        <v/>
      </c>
      <c r="AD15" s="173"/>
    </row>
    <row r="16" spans="1:30" ht="28.9" hidden="1" customHeight="1" x14ac:dyDescent="0.25">
      <c r="A16" s="96">
        <v>7</v>
      </c>
      <c r="B16" s="1030" t="str">
        <f>'FORM SKP'!E17</f>
        <v>-</v>
      </c>
      <c r="C16" s="1031"/>
      <c r="D16" s="1031"/>
      <c r="E16" s="1032"/>
      <c r="F16" s="164">
        <f>'FORM SKP'!I17</f>
        <v>0</v>
      </c>
      <c r="G16" s="165">
        <f>'FORM SKP'!K17</f>
        <v>0</v>
      </c>
      <c r="H16" s="165">
        <f>'FORM SKP'!L17</f>
        <v>0</v>
      </c>
      <c r="I16" s="165">
        <f>'FORM SKP'!M17</f>
        <v>0</v>
      </c>
      <c r="J16" s="165">
        <f>'FORM SKP'!N17</f>
        <v>0</v>
      </c>
      <c r="K16" s="165">
        <f>'FORM SKP'!O17</f>
        <v>0</v>
      </c>
      <c r="L16" s="711" t="str">
        <f>'FORM SKP'!P17</f>
        <v>-</v>
      </c>
      <c r="M16" s="166">
        <f t="shared" si="11"/>
        <v>0</v>
      </c>
      <c r="N16" s="168"/>
      <c r="O16" s="168">
        <f>H16</f>
        <v>0</v>
      </c>
      <c r="P16" s="169"/>
      <c r="Q16" s="168"/>
      <c r="R16" s="168">
        <f>K16</f>
        <v>0</v>
      </c>
      <c r="S16" s="166"/>
      <c r="T16" s="170" t="str">
        <f t="shared" si="2"/>
        <v/>
      </c>
      <c r="U16" s="170" t="str">
        <f>IF(OR(P16=0,I16=0),"",P16/I16*100)</f>
        <v/>
      </c>
      <c r="V16" s="166" t="str">
        <f>IF(AND(Q16=0,J16=0),"",100-(Q16/J16*100))</f>
        <v/>
      </c>
      <c r="W16" s="166" t="str">
        <f t="shared" si="5"/>
        <v/>
      </c>
      <c r="X16" s="166" t="str">
        <f t="shared" si="6"/>
        <v/>
      </c>
      <c r="Y16" s="166" t="str">
        <f t="shared" si="7"/>
        <v/>
      </c>
      <c r="Z16" s="171" t="str">
        <f>IF(V16&lt;=24,W16,Y16)</f>
        <v/>
      </c>
      <c r="AA16" s="172" t="str">
        <f t="shared" si="9"/>
        <v/>
      </c>
      <c r="AB16" s="171" t="str">
        <f t="shared" si="10"/>
        <v/>
      </c>
      <c r="AD16" s="173"/>
    </row>
    <row r="17" spans="1:31" ht="17.45" hidden="1" customHeight="1" x14ac:dyDescent="0.25">
      <c r="A17" s="64">
        <v>8</v>
      </c>
      <c r="B17" s="1030" t="str">
        <f>'FORM SKP'!E18</f>
        <v>-</v>
      </c>
      <c r="C17" s="1031"/>
      <c r="D17" s="1031"/>
      <c r="E17" s="1032"/>
      <c r="F17" s="164">
        <f>'FORM SKP'!I18</f>
        <v>0</v>
      </c>
      <c r="G17" s="165">
        <f>'FORM SKP'!K18</f>
        <v>0</v>
      </c>
      <c r="H17" s="165">
        <f>'FORM SKP'!L18</f>
        <v>0</v>
      </c>
      <c r="I17" s="165">
        <f>'FORM SKP'!M18</f>
        <v>0</v>
      </c>
      <c r="J17" s="165">
        <f>'FORM SKP'!N18</f>
        <v>0</v>
      </c>
      <c r="K17" s="165">
        <f>'FORM SKP'!O18</f>
        <v>0</v>
      </c>
      <c r="L17" s="711" t="str">
        <f>'FORM SKP'!P18</f>
        <v>-</v>
      </c>
      <c r="M17" s="166">
        <f t="shared" si="11"/>
        <v>0</v>
      </c>
      <c r="N17" s="168"/>
      <c r="O17" s="168">
        <f>H17</f>
        <v>0</v>
      </c>
      <c r="P17" s="169"/>
      <c r="Q17" s="168"/>
      <c r="R17" s="168">
        <f>K17</f>
        <v>0</v>
      </c>
      <c r="S17" s="166"/>
      <c r="T17" s="170" t="str">
        <f t="shared" si="2"/>
        <v/>
      </c>
      <c r="U17" s="170" t="str">
        <f>IF(OR(P17=0,I17=0),"",P17/I17*100)</f>
        <v/>
      </c>
      <c r="V17" s="166" t="str">
        <f>IF(AND(Q17=0,J17=0),"",100-(Q17/J17*100))</f>
        <v/>
      </c>
      <c r="W17" s="166" t="str">
        <f t="shared" si="5"/>
        <v/>
      </c>
      <c r="X17" s="166" t="str">
        <f t="shared" si="6"/>
        <v/>
      </c>
      <c r="Y17" s="166" t="str">
        <f t="shared" si="7"/>
        <v/>
      </c>
      <c r="Z17" s="171" t="str">
        <f>IF(V17&lt;=24,W17,Y17)</f>
        <v/>
      </c>
      <c r="AA17" s="172" t="str">
        <f t="shared" si="9"/>
        <v/>
      </c>
      <c r="AB17" s="171" t="str">
        <f t="shared" si="10"/>
        <v/>
      </c>
      <c r="AD17" s="173"/>
    </row>
    <row r="18" spans="1:31" ht="18" hidden="1" customHeight="1" x14ac:dyDescent="0.25">
      <c r="A18" s="96">
        <v>9</v>
      </c>
      <c r="B18" s="1030" t="str">
        <f>'FORM SKP'!E19</f>
        <v>-</v>
      </c>
      <c r="C18" s="1031"/>
      <c r="D18" s="1031"/>
      <c r="E18" s="1032"/>
      <c r="F18" s="164">
        <f>'FORM SKP'!I19</f>
        <v>0</v>
      </c>
      <c r="G18" s="165">
        <f>'FORM SKP'!K19</f>
        <v>0</v>
      </c>
      <c r="H18" s="165">
        <f>'FORM SKP'!L19</f>
        <v>0</v>
      </c>
      <c r="I18" s="165">
        <f>'FORM SKP'!M19</f>
        <v>0</v>
      </c>
      <c r="J18" s="165">
        <f>'FORM SKP'!N19</f>
        <v>0</v>
      </c>
      <c r="K18" s="165">
        <f>'FORM SKP'!O19</f>
        <v>0</v>
      </c>
      <c r="L18" s="711" t="str">
        <f>'FORM SKP'!P19</f>
        <v>-</v>
      </c>
      <c r="M18" s="166">
        <f t="shared" si="11"/>
        <v>0</v>
      </c>
      <c r="N18" s="168"/>
      <c r="O18" s="168">
        <f>H18</f>
        <v>0</v>
      </c>
      <c r="P18" s="169"/>
      <c r="Q18" s="168"/>
      <c r="R18" s="168">
        <f>K18</f>
        <v>0</v>
      </c>
      <c r="S18" s="166"/>
      <c r="T18" s="170" t="str">
        <f t="shared" si="2"/>
        <v/>
      </c>
      <c r="U18" s="170" t="str">
        <f>IF(OR(P18=0,I18=0),"",P18/I18*100)</f>
        <v/>
      </c>
      <c r="V18" s="166" t="str">
        <f>IF(AND(Q18=0,J18=0),"",100-(Q18/J18*100))</f>
        <v/>
      </c>
      <c r="W18" s="166" t="str">
        <f t="shared" si="5"/>
        <v/>
      </c>
      <c r="X18" s="166" t="str">
        <f t="shared" si="6"/>
        <v/>
      </c>
      <c r="Y18" s="166" t="str">
        <f t="shared" si="7"/>
        <v/>
      </c>
      <c r="Z18" s="171" t="str">
        <f>IF(V18&lt;=24,W18,Y18)</f>
        <v/>
      </c>
      <c r="AA18" s="172" t="str">
        <f t="shared" si="9"/>
        <v/>
      </c>
      <c r="AB18" s="171" t="str">
        <f t="shared" si="10"/>
        <v/>
      </c>
      <c r="AD18" s="173"/>
    </row>
    <row r="19" spans="1:31" ht="18" hidden="1" customHeight="1" x14ac:dyDescent="0.25">
      <c r="A19" s="64">
        <v>10</v>
      </c>
      <c r="B19" s="1030" t="str">
        <f>'FORM SKP'!E20</f>
        <v>-</v>
      </c>
      <c r="C19" s="1031"/>
      <c r="D19" s="1031"/>
      <c r="E19" s="1032"/>
      <c r="F19" s="164">
        <f>'FORM SKP'!I20</f>
        <v>0</v>
      </c>
      <c r="G19" s="165">
        <f>'FORM SKP'!K20</f>
        <v>0</v>
      </c>
      <c r="H19" s="165">
        <f>'FORM SKP'!L20</f>
        <v>0</v>
      </c>
      <c r="I19" s="165">
        <f>'FORM SKP'!M20</f>
        <v>0</v>
      </c>
      <c r="J19" s="165">
        <f>'FORM SKP'!N20</f>
        <v>0</v>
      </c>
      <c r="K19" s="165">
        <f>'FORM SKP'!O20</f>
        <v>0</v>
      </c>
      <c r="L19" s="711" t="str">
        <f>'FORM SKP'!P20</f>
        <v>-</v>
      </c>
      <c r="M19" s="166">
        <f t="shared" si="11"/>
        <v>0</v>
      </c>
      <c r="N19" s="168"/>
      <c r="O19" s="168">
        <f t="shared" ref="O19:O21" si="12">H19</f>
        <v>0</v>
      </c>
      <c r="P19" s="169"/>
      <c r="Q19" s="168"/>
      <c r="R19" s="168">
        <f t="shared" ref="R19:R21" si="13">K19</f>
        <v>0</v>
      </c>
      <c r="S19" s="166"/>
      <c r="T19" s="170" t="str">
        <f t="shared" ref="T19:T21" si="14">IF(OR(N19="",G19=""),"",N19/G19*100)</f>
        <v/>
      </c>
      <c r="U19" s="170" t="str">
        <f t="shared" ref="U19:U21" si="15">IF(OR(P19=0,I19=0),"",P19/I19*100)</f>
        <v/>
      </c>
      <c r="V19" s="166" t="str">
        <f t="shared" ref="V19:V21" si="16">IF(AND(Q19=0,J19=0),"",100-(Q19/J19*100))</f>
        <v/>
      </c>
      <c r="W19" s="166" t="str">
        <f t="shared" ref="W19:W21" si="17">IF(AND(J19=0,Q19=0),"",(1.76*J19-Q19)/J19*100)</f>
        <v/>
      </c>
      <c r="X19" s="166" t="str">
        <f t="shared" ref="X19:X21" si="18">IF(AND(Q19=0,J19=0),"",100-(Q19/J19*100))</f>
        <v/>
      </c>
      <c r="Y19" s="166" t="str">
        <f t="shared" ref="Y19:Y21" si="19">IF(AND(J19=0,Q19=0),"",76-(((1.76*J19-Q19)/J19*100)-100))</f>
        <v/>
      </c>
      <c r="Z19" s="171" t="str">
        <f t="shared" ref="Z19:Z21" si="20">IF(V19&lt;=24,W19,Y19)</f>
        <v/>
      </c>
      <c r="AA19" s="172" t="str">
        <f t="shared" ref="AA19:AA21" si="21">IF(AND(T19="",U19="",Z19=""),"",T19+U19+Z19)</f>
        <v/>
      </c>
      <c r="AB19" s="171" t="str">
        <f t="shared" ref="AB19:AB21" si="22">IF(AA19="","",AA19/3)</f>
        <v/>
      </c>
      <c r="AD19" s="173"/>
    </row>
    <row r="20" spans="1:31" ht="18" hidden="1" customHeight="1" x14ac:dyDescent="0.25">
      <c r="A20" s="96">
        <v>11</v>
      </c>
      <c r="B20" s="1030" t="str">
        <f>'FORM SKP'!E21</f>
        <v>-</v>
      </c>
      <c r="C20" s="1031"/>
      <c r="D20" s="1031"/>
      <c r="E20" s="1032"/>
      <c r="F20" s="164">
        <f>'FORM SKP'!I21</f>
        <v>0</v>
      </c>
      <c r="G20" s="165">
        <f>'FORM SKP'!K21</f>
        <v>0</v>
      </c>
      <c r="H20" s="165">
        <f>'FORM SKP'!L21</f>
        <v>0</v>
      </c>
      <c r="I20" s="165">
        <f>'FORM SKP'!M21</f>
        <v>0</v>
      </c>
      <c r="J20" s="165">
        <f>'FORM SKP'!N21</f>
        <v>0</v>
      </c>
      <c r="K20" s="165">
        <f>'FORM SKP'!O21</f>
        <v>0</v>
      </c>
      <c r="L20" s="711" t="str">
        <f>'FORM SKP'!P21</f>
        <v>-</v>
      </c>
      <c r="M20" s="166">
        <f t="shared" si="11"/>
        <v>0</v>
      </c>
      <c r="N20" s="168"/>
      <c r="O20" s="168">
        <f t="shared" si="12"/>
        <v>0</v>
      </c>
      <c r="P20" s="169"/>
      <c r="Q20" s="168"/>
      <c r="R20" s="168">
        <f t="shared" si="13"/>
        <v>0</v>
      </c>
      <c r="S20" s="166"/>
      <c r="T20" s="170" t="str">
        <f t="shared" si="14"/>
        <v/>
      </c>
      <c r="U20" s="170" t="str">
        <f t="shared" si="15"/>
        <v/>
      </c>
      <c r="V20" s="166" t="str">
        <f t="shared" si="16"/>
        <v/>
      </c>
      <c r="W20" s="166" t="str">
        <f t="shared" si="17"/>
        <v/>
      </c>
      <c r="X20" s="166" t="str">
        <f t="shared" si="18"/>
        <v/>
      </c>
      <c r="Y20" s="166" t="str">
        <f t="shared" si="19"/>
        <v/>
      </c>
      <c r="Z20" s="171" t="str">
        <f t="shared" si="20"/>
        <v/>
      </c>
      <c r="AA20" s="172" t="str">
        <f t="shared" si="21"/>
        <v/>
      </c>
      <c r="AB20" s="171" t="str">
        <f t="shared" si="22"/>
        <v/>
      </c>
      <c r="AD20" s="173"/>
    </row>
    <row r="21" spans="1:31" ht="18" hidden="1" customHeight="1" x14ac:dyDescent="0.25">
      <c r="A21" s="64">
        <v>12</v>
      </c>
      <c r="B21" s="1030" t="str">
        <f>'FORM SKP'!E22</f>
        <v>-</v>
      </c>
      <c r="C21" s="1031"/>
      <c r="D21" s="1031"/>
      <c r="E21" s="1032"/>
      <c r="F21" s="164">
        <f>'FORM SKP'!I22</f>
        <v>0</v>
      </c>
      <c r="G21" s="165">
        <f>'FORM SKP'!K22</f>
        <v>0</v>
      </c>
      <c r="H21" s="165">
        <f>'FORM SKP'!L22</f>
        <v>0</v>
      </c>
      <c r="I21" s="165">
        <f>'FORM SKP'!M22</f>
        <v>0</v>
      </c>
      <c r="J21" s="165">
        <f>'FORM SKP'!N22</f>
        <v>0</v>
      </c>
      <c r="K21" s="165">
        <f>'FORM SKP'!O22</f>
        <v>0</v>
      </c>
      <c r="L21" s="711" t="str">
        <f>'FORM SKP'!P22</f>
        <v>-</v>
      </c>
      <c r="M21" s="166">
        <f t="shared" si="11"/>
        <v>0</v>
      </c>
      <c r="N21" s="168"/>
      <c r="O21" s="168">
        <f t="shared" si="12"/>
        <v>0</v>
      </c>
      <c r="P21" s="169"/>
      <c r="Q21" s="168"/>
      <c r="R21" s="168">
        <f t="shared" si="13"/>
        <v>0</v>
      </c>
      <c r="S21" s="166"/>
      <c r="T21" s="170" t="str">
        <f t="shared" si="14"/>
        <v/>
      </c>
      <c r="U21" s="170" t="str">
        <f t="shared" si="15"/>
        <v/>
      </c>
      <c r="V21" s="166" t="str">
        <f t="shared" si="16"/>
        <v/>
      </c>
      <c r="W21" s="166" t="str">
        <f t="shared" si="17"/>
        <v/>
      </c>
      <c r="X21" s="166" t="str">
        <f t="shared" si="18"/>
        <v/>
      </c>
      <c r="Y21" s="166" t="str">
        <f t="shared" si="19"/>
        <v/>
      </c>
      <c r="Z21" s="171" t="str">
        <f t="shared" si="20"/>
        <v/>
      </c>
      <c r="AA21" s="172" t="str">
        <f t="shared" si="21"/>
        <v/>
      </c>
      <c r="AB21" s="171" t="str">
        <f t="shared" si="22"/>
        <v/>
      </c>
      <c r="AD21" s="173"/>
    </row>
    <row r="22" spans="1:31" ht="18" customHeight="1" x14ac:dyDescent="0.25">
      <c r="A22" s="96"/>
      <c r="B22" s="175"/>
      <c r="C22" s="176"/>
      <c r="D22" s="176"/>
      <c r="E22" s="177" t="s">
        <v>24</v>
      </c>
      <c r="F22" s="178">
        <f>SUM(F10:F18)</f>
        <v>12.45</v>
      </c>
      <c r="G22" s="179"/>
      <c r="H22" s="180"/>
      <c r="I22" s="180"/>
      <c r="J22" s="180"/>
      <c r="K22" s="180"/>
      <c r="L22" s="181"/>
      <c r="M22" s="178">
        <f>SUM(M10:M18)</f>
        <v>1.85</v>
      </c>
      <c r="N22" s="182"/>
      <c r="O22" s="183"/>
      <c r="P22" s="184"/>
      <c r="Q22" s="185"/>
      <c r="R22" s="183"/>
      <c r="S22" s="181"/>
      <c r="T22" s="186"/>
      <c r="U22" s="186"/>
      <c r="V22" s="181"/>
      <c r="W22" s="181"/>
      <c r="X22" s="181"/>
      <c r="Y22" s="181"/>
      <c r="Z22" s="187"/>
      <c r="AA22" s="94"/>
      <c r="AB22" s="188">
        <f>SUM(AB10:AB18)</f>
        <v>426.66666666666663</v>
      </c>
      <c r="AD22" s="173"/>
    </row>
    <row r="23" spans="1:31" ht="15" customHeight="1" x14ac:dyDescent="0.25">
      <c r="A23" s="96"/>
      <c r="B23" s="175"/>
      <c r="C23" s="176"/>
      <c r="D23" s="176"/>
      <c r="E23" s="189" t="s">
        <v>304</v>
      </c>
      <c r="F23" s="190"/>
      <c r="G23" s="191"/>
      <c r="H23" s="180"/>
      <c r="I23" s="180"/>
      <c r="J23" s="180"/>
      <c r="K23" s="180"/>
      <c r="L23" s="181"/>
      <c r="M23" s="181"/>
      <c r="N23" s="185"/>
      <c r="O23" s="183"/>
      <c r="P23" s="184"/>
      <c r="Q23" s="185"/>
      <c r="R23" s="183"/>
      <c r="S23" s="181"/>
      <c r="T23" s="186"/>
      <c r="U23" s="186"/>
      <c r="V23" s="181"/>
      <c r="W23" s="181"/>
      <c r="X23" s="181"/>
      <c r="Y23" s="181"/>
      <c r="Z23" s="187"/>
      <c r="AA23" s="94"/>
      <c r="AB23" s="192">
        <f>AVERAGE(AB10:AB18)</f>
        <v>85.333333333333329</v>
      </c>
      <c r="AD23" s="173"/>
    </row>
    <row r="24" spans="1:31" x14ac:dyDescent="0.25">
      <c r="A24" s="193"/>
      <c r="B24" s="1043" t="s">
        <v>305</v>
      </c>
      <c r="C24" s="1044"/>
      <c r="D24" s="1044"/>
      <c r="E24" s="1045"/>
      <c r="F24" s="194"/>
      <c r="G24" s="1053"/>
      <c r="H24" s="1054"/>
      <c r="I24" s="1054"/>
      <c r="J24" s="1054"/>
      <c r="K24" s="1054"/>
      <c r="L24" s="1054"/>
      <c r="M24" s="1054"/>
      <c r="N24" s="1054"/>
      <c r="O24" s="1054"/>
      <c r="P24" s="1054"/>
      <c r="Q24" s="1054"/>
      <c r="R24" s="1054"/>
      <c r="S24" s="1054"/>
      <c r="T24" s="1054"/>
      <c r="U24" s="1054"/>
      <c r="V24" s="1054"/>
      <c r="W24" s="1054"/>
      <c r="X24" s="1054"/>
      <c r="Y24" s="1054"/>
      <c r="Z24" s="1054"/>
      <c r="AA24" s="1055"/>
      <c r="AB24" s="171"/>
      <c r="AD24" s="173"/>
    </row>
    <row r="25" spans="1:31" x14ac:dyDescent="0.25">
      <c r="A25" s="168">
        <v>1</v>
      </c>
      <c r="B25" s="1046"/>
      <c r="C25" s="1047"/>
      <c r="D25" s="1047"/>
      <c r="E25" s="1048"/>
      <c r="F25" s="195"/>
      <c r="G25" s="196" t="s">
        <v>87</v>
      </c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8"/>
      <c r="AB25" s="199">
        <f>AA25/3</f>
        <v>0</v>
      </c>
      <c r="AD25" s="173"/>
    </row>
    <row r="26" spans="1:31" x14ac:dyDescent="0.25">
      <c r="A26" s="168">
        <v>2</v>
      </c>
      <c r="B26" s="1046"/>
      <c r="C26" s="1047"/>
      <c r="D26" s="1047"/>
      <c r="E26" s="1048"/>
      <c r="F26" s="195"/>
      <c r="G26" s="196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8"/>
      <c r="AB26" s="200">
        <f>AA26/3</f>
        <v>0</v>
      </c>
    </row>
    <row r="27" spans="1:31" x14ac:dyDescent="0.25">
      <c r="A27" s="1049" t="s">
        <v>12</v>
      </c>
      <c r="B27" s="1050"/>
      <c r="C27" s="1050"/>
      <c r="D27" s="1050"/>
      <c r="E27" s="1050"/>
      <c r="F27" s="1050"/>
      <c r="G27" s="1050"/>
      <c r="H27" s="1050"/>
      <c r="I27" s="1050"/>
      <c r="J27" s="1050"/>
      <c r="K27" s="1050"/>
      <c r="L27" s="1050"/>
      <c r="M27" s="1050"/>
      <c r="N27" s="1050"/>
      <c r="O27" s="1050"/>
      <c r="P27" s="1050"/>
      <c r="Q27" s="1050"/>
      <c r="R27" s="1050"/>
      <c r="S27" s="1050"/>
      <c r="T27" s="1050"/>
      <c r="U27" s="1050"/>
      <c r="V27" s="1050"/>
      <c r="W27" s="1050"/>
      <c r="X27" s="1050"/>
      <c r="Y27" s="1050"/>
      <c r="Z27" s="1050"/>
      <c r="AA27" s="1050"/>
      <c r="AB27" s="201">
        <f>AVERAGE(AB10:AB18)+AB24</f>
        <v>85.333333333333329</v>
      </c>
      <c r="AD27" s="173"/>
      <c r="AE27" s="173"/>
    </row>
    <row r="28" spans="1:31" x14ac:dyDescent="0.25">
      <c r="A28" s="1051"/>
      <c r="B28" s="1052"/>
      <c r="C28" s="1052"/>
      <c r="D28" s="1052"/>
      <c r="E28" s="1052"/>
      <c r="F28" s="1052"/>
      <c r="G28" s="1052"/>
      <c r="H28" s="1052"/>
      <c r="I28" s="1052"/>
      <c r="J28" s="1052"/>
      <c r="K28" s="1052"/>
      <c r="L28" s="1052"/>
      <c r="M28" s="1052"/>
      <c r="N28" s="1052"/>
      <c r="O28" s="1052"/>
      <c r="P28" s="1052"/>
      <c r="Q28" s="1052"/>
      <c r="R28" s="1052"/>
      <c r="S28" s="1052"/>
      <c r="T28" s="1052"/>
      <c r="U28" s="1052"/>
      <c r="V28" s="1052"/>
      <c r="W28" s="1052"/>
      <c r="X28" s="1052"/>
      <c r="Y28" s="1052"/>
      <c r="Z28" s="1052"/>
      <c r="AA28" s="1052"/>
      <c r="AB28" s="202" t="str">
        <f>IF(AB27&gt;=91,"Amat Baik",IF(AB27&gt;=76,"Baik",IF(AB27&gt;=61,"Cukup",IF(AB27&gt;=51,"Kurang",IF(AB27&lt;=50,"Buruk","-")))))</f>
        <v>Baik</v>
      </c>
    </row>
    <row r="29" spans="1:31" ht="9" customHeight="1" x14ac:dyDescent="0.25">
      <c r="A29" s="203"/>
      <c r="B29" s="203"/>
      <c r="C29" s="203"/>
      <c r="D29" s="203"/>
      <c r="E29" s="203"/>
      <c r="F29" s="203"/>
      <c r="G29" s="204"/>
      <c r="H29" s="203"/>
      <c r="I29" s="205"/>
      <c r="J29" s="203"/>
      <c r="K29" s="203"/>
      <c r="L29" s="203"/>
      <c r="M29" s="203"/>
      <c r="N29" s="206"/>
      <c r="O29" s="203"/>
      <c r="P29" s="203"/>
      <c r="Q29" s="203"/>
      <c r="R29" s="203"/>
      <c r="S29" s="203"/>
      <c r="T29" s="207"/>
      <c r="U29" s="203"/>
      <c r="V29" s="203"/>
      <c r="W29" s="203"/>
      <c r="X29" s="203"/>
      <c r="Y29" s="203"/>
      <c r="Z29" s="208"/>
      <c r="AA29" s="203"/>
      <c r="AB29" s="203"/>
    </row>
    <row r="30" spans="1:31" x14ac:dyDescent="0.25">
      <c r="A30" s="203"/>
      <c r="B30" s="203"/>
      <c r="C30" s="203"/>
      <c r="D30" s="203"/>
      <c r="E30" s="203"/>
      <c r="F30" s="203"/>
      <c r="G30" s="204"/>
      <c r="H30" s="203"/>
      <c r="I30" s="205"/>
      <c r="J30" s="203"/>
      <c r="K30" s="203"/>
      <c r="L30" s="203"/>
      <c r="M30" s="203"/>
      <c r="N30" s="206"/>
      <c r="O30" s="203"/>
      <c r="P30" s="203"/>
      <c r="Q30" s="209" t="s">
        <v>306</v>
      </c>
      <c r="R30" s="210"/>
      <c r="S30" s="219" t="str">
        <f>PERIODE!E7</f>
        <v>14 Juli 2021</v>
      </c>
      <c r="U30" s="208"/>
      <c r="V30" s="208"/>
      <c r="W30" s="210"/>
      <c r="X30" s="210"/>
      <c r="Y30" s="210"/>
      <c r="Z30" s="210"/>
      <c r="AA30" s="210"/>
      <c r="AB30" s="203"/>
    </row>
    <row r="31" spans="1:31" x14ac:dyDescent="0.25">
      <c r="A31" s="203"/>
      <c r="B31" s="203"/>
      <c r="C31" s="203"/>
      <c r="D31" s="203"/>
      <c r="E31" s="203"/>
      <c r="F31" s="203"/>
      <c r="G31" s="204"/>
      <c r="H31" s="203"/>
      <c r="I31" s="205"/>
      <c r="J31" s="203"/>
      <c r="K31" s="203"/>
      <c r="L31" s="203"/>
      <c r="M31" s="203"/>
      <c r="N31" s="206"/>
      <c r="O31" s="203"/>
      <c r="P31" s="203"/>
      <c r="Q31" s="209" t="s">
        <v>307</v>
      </c>
      <c r="R31" s="210"/>
      <c r="S31" s="54"/>
      <c r="T31" s="208"/>
      <c r="U31" s="208"/>
      <c r="V31" s="208"/>
      <c r="W31" s="210"/>
      <c r="X31" s="210"/>
      <c r="Y31" s="210"/>
      <c r="Z31" s="210"/>
      <c r="AA31" s="210"/>
      <c r="AB31" s="203"/>
    </row>
    <row r="32" spans="1:31" x14ac:dyDescent="0.25">
      <c r="A32" s="203"/>
      <c r="B32" s="203"/>
      <c r="C32" s="203"/>
      <c r="D32" s="203"/>
      <c r="E32" s="203"/>
      <c r="F32" s="203"/>
      <c r="G32" s="204"/>
      <c r="H32" s="203"/>
      <c r="I32" s="205"/>
      <c r="J32" s="203"/>
      <c r="K32" s="203"/>
      <c r="L32" s="203"/>
      <c r="M32" s="203"/>
      <c r="N32" s="206"/>
      <c r="O32" s="203"/>
      <c r="P32" s="203"/>
      <c r="Q32" s="210"/>
      <c r="R32" s="210"/>
      <c r="S32" s="54"/>
      <c r="T32" s="208"/>
      <c r="U32" s="208"/>
      <c r="V32" s="208"/>
      <c r="W32" s="210"/>
      <c r="X32" s="210"/>
      <c r="Y32" s="210"/>
      <c r="Z32" s="210"/>
      <c r="AA32" s="210"/>
      <c r="AB32" s="203"/>
    </row>
    <row r="33" spans="1:28" x14ac:dyDescent="0.25">
      <c r="A33" s="203"/>
      <c r="B33" s="203"/>
      <c r="C33" s="203"/>
      <c r="D33" s="203"/>
      <c r="E33" s="203"/>
      <c r="F33" s="203"/>
      <c r="G33" s="204"/>
      <c r="H33" s="203"/>
      <c r="I33" s="205"/>
      <c r="J33" s="203"/>
      <c r="K33" s="203"/>
      <c r="L33" s="203"/>
      <c r="M33" s="203"/>
      <c r="N33" s="206"/>
      <c r="O33" s="203"/>
      <c r="P33" s="203"/>
      <c r="Q33" s="210"/>
      <c r="R33" s="210"/>
      <c r="S33" s="54"/>
      <c r="T33" s="208"/>
      <c r="U33" s="208"/>
      <c r="V33" s="208"/>
      <c r="W33" s="210"/>
      <c r="X33" s="210"/>
      <c r="Y33" s="210"/>
      <c r="Z33" s="210"/>
      <c r="AA33" s="210"/>
      <c r="AB33" s="203"/>
    </row>
    <row r="34" spans="1:28" x14ac:dyDescent="0.25">
      <c r="A34" s="203"/>
      <c r="B34" s="203"/>
      <c r="C34" s="203"/>
      <c r="D34" s="203"/>
      <c r="E34" s="203"/>
      <c r="F34" s="203"/>
      <c r="G34" s="204"/>
      <c r="H34" s="203"/>
      <c r="I34" s="205"/>
      <c r="J34" s="203"/>
      <c r="K34" s="203"/>
      <c r="L34" s="203"/>
      <c r="M34" s="203"/>
      <c r="N34" s="206"/>
      <c r="O34" s="203"/>
      <c r="P34" s="203"/>
      <c r="Q34" s="210"/>
      <c r="R34" s="210"/>
      <c r="S34" s="54"/>
      <c r="T34" s="208"/>
      <c r="U34" s="208"/>
      <c r="V34" s="208"/>
      <c r="W34" s="210"/>
      <c r="X34" s="210"/>
      <c r="Y34" s="210"/>
      <c r="Z34" s="210"/>
      <c r="AA34" s="210"/>
      <c r="AB34" s="203"/>
    </row>
    <row r="35" spans="1:28" x14ac:dyDescent="0.25">
      <c r="A35" s="203"/>
      <c r="B35" s="203"/>
      <c r="C35" s="203"/>
      <c r="D35" s="203"/>
      <c r="E35" s="203"/>
      <c r="F35" s="203"/>
      <c r="G35" s="204"/>
      <c r="H35" s="203"/>
      <c r="I35" s="205"/>
      <c r="J35" s="203"/>
      <c r="K35" s="203"/>
      <c r="L35" s="203"/>
      <c r="M35" s="203"/>
      <c r="N35" s="206"/>
      <c r="O35" s="203"/>
      <c r="P35" s="203"/>
      <c r="Q35" s="209" t="str">
        <f>'DATA SKP2'!F12</f>
        <v>Drs. Busyroni Majid, M.Si</v>
      </c>
      <c r="R35" s="210"/>
      <c r="S35" s="211"/>
      <c r="T35" s="211"/>
      <c r="U35" s="211"/>
      <c r="V35" s="211"/>
      <c r="W35" s="211"/>
      <c r="X35" s="211"/>
      <c r="Y35" s="211"/>
      <c r="Z35" s="211"/>
      <c r="AA35" s="210"/>
      <c r="AB35" s="203"/>
    </row>
    <row r="36" spans="1:28" x14ac:dyDescent="0.25">
      <c r="A36" s="203"/>
      <c r="B36" s="203"/>
      <c r="C36" s="203"/>
      <c r="D36" s="203"/>
      <c r="E36" s="203"/>
      <c r="F36" s="203"/>
      <c r="G36" s="204"/>
      <c r="H36" s="203"/>
      <c r="I36" s="205"/>
      <c r="J36" s="203"/>
      <c r="K36" s="203"/>
      <c r="L36" s="203"/>
      <c r="M36" s="203"/>
      <c r="N36" s="206"/>
      <c r="O36" s="203"/>
      <c r="P36" s="203"/>
      <c r="Q36" s="209" t="s">
        <v>3</v>
      </c>
      <c r="R36" s="209" t="str">
        <f>'DATA SKP2'!F13</f>
        <v>19690921 199503 1 001</v>
      </c>
      <c r="S36" s="211"/>
      <c r="T36" s="211"/>
      <c r="U36" s="211"/>
      <c r="V36" s="211"/>
      <c r="W36" s="211"/>
      <c r="X36" s="211"/>
      <c r="Y36" s="211"/>
      <c r="Z36" s="211"/>
      <c r="AA36" s="210"/>
      <c r="AB36" s="203"/>
    </row>
    <row r="37" spans="1:28" x14ac:dyDescent="0.25">
      <c r="Q37" s="215"/>
      <c r="R37" s="215"/>
      <c r="S37" s="215"/>
      <c r="T37" s="216"/>
      <c r="U37" s="215"/>
      <c r="V37" s="215"/>
      <c r="W37" s="215"/>
      <c r="X37" s="215"/>
      <c r="Y37" s="215"/>
      <c r="Z37" s="8"/>
      <c r="AA37" s="215"/>
    </row>
    <row r="38" spans="1:28" x14ac:dyDescent="0.25">
      <c r="Z38" s="217"/>
    </row>
    <row r="39" spans="1:28" x14ac:dyDescent="0.25">
      <c r="Z39" s="8"/>
    </row>
  </sheetData>
  <sheetProtection formatCells="0" formatColumns="0" formatRows="0"/>
  <mergeCells count="36">
    <mergeCell ref="B25:E25"/>
    <mergeCell ref="B26:E26"/>
    <mergeCell ref="A27:AA28"/>
    <mergeCell ref="B19:E19"/>
    <mergeCell ref="B20:E20"/>
    <mergeCell ref="B21:E21"/>
    <mergeCell ref="G24:AA24"/>
    <mergeCell ref="B15:E15"/>
    <mergeCell ref="B16:E16"/>
    <mergeCell ref="B17:E17"/>
    <mergeCell ref="B18:E18"/>
    <mergeCell ref="B24:E24"/>
    <mergeCell ref="B14:E14"/>
    <mergeCell ref="J7:K7"/>
    <mergeCell ref="N7:O7"/>
    <mergeCell ref="Q7:R7"/>
    <mergeCell ref="B8:E8"/>
    <mergeCell ref="G8:H8"/>
    <mergeCell ref="J8:K8"/>
    <mergeCell ref="N8:O8"/>
    <mergeCell ref="Q8:R8"/>
    <mergeCell ref="B9:E9"/>
    <mergeCell ref="B10:E10"/>
    <mergeCell ref="B11:E11"/>
    <mergeCell ref="B12:E12"/>
    <mergeCell ref="B13:E13"/>
    <mergeCell ref="A1:AB1"/>
    <mergeCell ref="A6:A7"/>
    <mergeCell ref="B6:E7"/>
    <mergeCell ref="F6:F7"/>
    <mergeCell ref="G6:L6"/>
    <mergeCell ref="M6:M7"/>
    <mergeCell ref="N6:S6"/>
    <mergeCell ref="AA6:AA7"/>
    <mergeCell ref="AB6:AB7"/>
    <mergeCell ref="G7:H7"/>
  </mergeCells>
  <printOptions horizontalCentered="1"/>
  <pageMargins left="0.44" right="0.31496062992126" top="0.74803149606299202" bottom="0.74803149606299202" header="0.31496062992126" footer="0.31496062992126"/>
  <pageSetup paperSize="9" scale="75" orientation="landscape" horizontalDpi="200" verticalDpi="2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K48"/>
  <sheetViews>
    <sheetView view="pageBreakPreview" topLeftCell="A7" zoomScale="85" zoomScaleNormal="100" zoomScaleSheetLayoutView="85" workbookViewId="0">
      <selection activeCell="F12" sqref="F12"/>
    </sheetView>
  </sheetViews>
  <sheetFormatPr defaultColWidth="0" defaultRowHeight="12.75" x14ac:dyDescent="0.2"/>
  <cols>
    <col min="1" max="1" width="5.140625" style="335" customWidth="1"/>
    <col min="2" max="2" width="12.5703125" style="335" customWidth="1"/>
    <col min="3" max="3" width="1" style="335" customWidth="1"/>
    <col min="4" max="4" width="22.42578125" style="335" customWidth="1"/>
    <col min="5" max="5" width="2.28515625" style="335" customWidth="1"/>
    <col min="6" max="6" width="9.7109375" style="335" customWidth="1"/>
    <col min="7" max="7" width="8" style="335" customWidth="1"/>
    <col min="8" max="8" width="31.42578125" style="335" customWidth="1"/>
    <col min="9" max="11" width="9.140625" style="273" customWidth="1"/>
    <col min="12" max="16384" width="9.140625" style="273" hidden="1"/>
  </cols>
  <sheetData>
    <row r="1" spans="1:8" ht="18.75" x14ac:dyDescent="0.2">
      <c r="A1" s="1058" t="s">
        <v>25</v>
      </c>
      <c r="B1" s="1058"/>
      <c r="C1" s="1058"/>
      <c r="D1" s="1058"/>
      <c r="E1" s="1058"/>
      <c r="F1" s="1058"/>
      <c r="G1" s="1058"/>
      <c r="H1" s="1058"/>
    </row>
    <row r="2" spans="1:8" x14ac:dyDescent="0.2">
      <c r="A2" s="336"/>
      <c r="B2" s="336"/>
      <c r="C2" s="336"/>
      <c r="D2" s="336"/>
      <c r="E2" s="336"/>
      <c r="F2" s="336"/>
      <c r="G2" s="336"/>
      <c r="H2" s="336"/>
    </row>
    <row r="3" spans="1:8" ht="18" customHeight="1" x14ac:dyDescent="0.2">
      <c r="A3" s="337"/>
      <c r="B3" s="338" t="s">
        <v>2</v>
      </c>
      <c r="C3" s="338" t="s">
        <v>16</v>
      </c>
      <c r="D3" s="338" t="str">
        <f>'DATA SKP'!E5</f>
        <v>Sirajudin, S.Pd.</v>
      </c>
      <c r="E3" s="336"/>
      <c r="F3" s="336"/>
      <c r="G3" s="336"/>
      <c r="H3" s="336"/>
    </row>
    <row r="4" spans="1:8" ht="18" customHeight="1" x14ac:dyDescent="0.2">
      <c r="A4" s="337"/>
      <c r="B4" s="338" t="s">
        <v>3</v>
      </c>
      <c r="C4" s="338" t="s">
        <v>16</v>
      </c>
      <c r="D4" s="338" t="str">
        <f>'DATA SKP'!E6</f>
        <v>19730115 200710 1 001</v>
      </c>
      <c r="E4" s="336"/>
      <c r="F4" s="336"/>
      <c r="G4" s="336"/>
      <c r="H4" s="336"/>
    </row>
    <row r="5" spans="1:8" x14ac:dyDescent="0.2">
      <c r="A5" s="336"/>
      <c r="B5" s="336"/>
      <c r="C5" s="336"/>
      <c r="D5" s="336"/>
      <c r="E5" s="336"/>
      <c r="F5" s="336"/>
      <c r="G5" s="336"/>
      <c r="H5" s="336"/>
    </row>
    <row r="6" spans="1:8" ht="28.5" x14ac:dyDescent="0.2">
      <c r="A6" s="855" t="s">
        <v>22</v>
      </c>
      <c r="B6" s="1059" t="s">
        <v>624</v>
      </c>
      <c r="C6" s="1059"/>
      <c r="D6" s="1059" t="s">
        <v>26</v>
      </c>
      <c r="E6" s="1059"/>
      <c r="F6" s="1059"/>
      <c r="G6" s="1059"/>
      <c r="H6" s="339" t="s">
        <v>57</v>
      </c>
    </row>
    <row r="7" spans="1:8" ht="15" thickBot="1" x14ac:dyDescent="0.25">
      <c r="A7" s="856">
        <v>1</v>
      </c>
      <c r="B7" s="1060"/>
      <c r="C7" s="1060"/>
      <c r="D7" s="1060">
        <v>3</v>
      </c>
      <c r="E7" s="1060"/>
      <c r="F7" s="1060"/>
      <c r="G7" s="1060"/>
      <c r="H7" s="856">
        <v>4</v>
      </c>
    </row>
    <row r="8" spans="1:8" ht="13.5" thickTop="1" x14ac:dyDescent="0.2">
      <c r="A8" s="340"/>
      <c r="B8" s="283"/>
      <c r="C8" s="283"/>
      <c r="D8" s="341"/>
      <c r="E8" s="283"/>
      <c r="F8" s="283"/>
      <c r="G8" s="342"/>
      <c r="H8" s="340"/>
    </row>
    <row r="9" spans="1:8" ht="50.25" customHeight="1" x14ac:dyDescent="0.2">
      <c r="A9" s="343" t="s">
        <v>20</v>
      </c>
      <c r="B9" s="828" t="str">
        <f>PERIODE!E7</f>
        <v>14 Juli 2021</v>
      </c>
      <c r="C9" s="344"/>
      <c r="D9" s="1056" t="str">
        <f>"Penilaian SKP sampai dengan akhir Juni "&amp;PERIODE!E23</f>
        <v>Penilaian SKP sampai dengan akhir Juni 2021</v>
      </c>
      <c r="E9" s="1057"/>
      <c r="F9" s="345" t="s">
        <v>56</v>
      </c>
      <c r="G9" s="346">
        <f>'PENGUKURAN SKP'!AB27</f>
        <v>85.333333333333329</v>
      </c>
      <c r="H9" s="347"/>
    </row>
    <row r="10" spans="1:8" ht="20.100000000000001" customHeight="1" x14ac:dyDescent="0.2">
      <c r="A10" s="347"/>
      <c r="B10" s="348"/>
      <c r="C10" s="344"/>
      <c r="D10" s="349"/>
      <c r="E10" s="350"/>
      <c r="F10" s="351"/>
      <c r="G10" s="352"/>
      <c r="H10" s="347"/>
    </row>
    <row r="11" spans="1:8" ht="38.25" customHeight="1" x14ac:dyDescent="0.25">
      <c r="A11" s="353"/>
      <c r="B11" s="354"/>
      <c r="C11" s="355"/>
      <c r="D11" s="1056" t="s">
        <v>63</v>
      </c>
      <c r="E11" s="1057"/>
      <c r="F11" s="1057"/>
      <c r="G11" s="352"/>
      <c r="H11" s="356" t="str">
        <f>"Kepala  "&amp;PERIODE!E4</f>
        <v>Kepala  MTs NEGERI 5 SLEMAN</v>
      </c>
    </row>
    <row r="12" spans="1:8" ht="24" customHeight="1" x14ac:dyDescent="0.25">
      <c r="A12" s="318"/>
      <c r="B12" s="274"/>
      <c r="C12" s="274"/>
      <c r="D12" s="319" t="s">
        <v>27</v>
      </c>
      <c r="E12" s="320" t="s">
        <v>28</v>
      </c>
      <c r="F12" s="1507">
        <v>84.5</v>
      </c>
      <c r="G12" s="322" t="str">
        <f>IF(F12="","",IF(F12&lt;=50,"Buruk",IF(F12&lt;=60,"Sedang",IF(F12&lt;=75,"Cukup",IF(F12&lt;=90.99,"Baik","Sangat Baik")))))</f>
        <v>Baik</v>
      </c>
      <c r="H12" s="323"/>
    </row>
    <row r="13" spans="1:8" ht="24" customHeight="1" x14ac:dyDescent="0.25">
      <c r="A13" s="318"/>
      <c r="B13" s="274"/>
      <c r="C13" s="274"/>
      <c r="D13" s="319" t="s">
        <v>29</v>
      </c>
      <c r="E13" s="320" t="s">
        <v>28</v>
      </c>
      <c r="F13" s="1507">
        <v>84</v>
      </c>
      <c r="G13" s="322" t="str">
        <f t="shared" ref="G13:G16" si="0">IF(F13="","",IF(F13&lt;=50,"Buruk",IF(F13&lt;=60,"Sedang",IF(F13&lt;=75,"Cukup",IF(F13&lt;=90.99,"Baik","Sangat Baik")))))</f>
        <v>Baik</v>
      </c>
      <c r="H13" s="323"/>
    </row>
    <row r="14" spans="1:8" ht="24" customHeight="1" x14ac:dyDescent="0.2">
      <c r="A14" s="318"/>
      <c r="B14" s="274"/>
      <c r="C14" s="274"/>
      <c r="D14" s="319" t="s">
        <v>30</v>
      </c>
      <c r="E14" s="320" t="s">
        <v>28</v>
      </c>
      <c r="F14" s="1507">
        <v>84</v>
      </c>
      <c r="G14" s="322" t="str">
        <f t="shared" si="0"/>
        <v>Baik</v>
      </c>
      <c r="H14" s="324"/>
    </row>
    <row r="15" spans="1:8" ht="24" customHeight="1" x14ac:dyDescent="0.25">
      <c r="A15" s="318"/>
      <c r="B15" s="274"/>
      <c r="C15" s="274"/>
      <c r="D15" s="319" t="s">
        <v>31</v>
      </c>
      <c r="E15" s="320" t="s">
        <v>28</v>
      </c>
      <c r="F15" s="1507">
        <v>84</v>
      </c>
      <c r="G15" s="322" t="str">
        <f t="shared" si="0"/>
        <v>Baik</v>
      </c>
      <c r="H15" s="325" t="str">
        <f>'DATA SKP2'!F12</f>
        <v>Drs. Busyroni Majid, M.Si</v>
      </c>
    </row>
    <row r="16" spans="1:8" ht="24" customHeight="1" x14ac:dyDescent="0.2">
      <c r="A16" s="318"/>
      <c r="B16" s="274"/>
      <c r="C16" s="274"/>
      <c r="D16" s="319" t="s">
        <v>32</v>
      </c>
      <c r="E16" s="320" t="s">
        <v>28</v>
      </c>
      <c r="F16" s="1507">
        <v>84</v>
      </c>
      <c r="G16" s="322" t="str">
        <f t="shared" si="0"/>
        <v>Baik</v>
      </c>
      <c r="H16" s="326" t="str">
        <f>"NIP. : "&amp;'DATA SKP2'!F13</f>
        <v>NIP. : 19690921 199503 1 001</v>
      </c>
    </row>
    <row r="17" spans="1:11" ht="24" customHeight="1" x14ac:dyDescent="0.2">
      <c r="A17" s="318"/>
      <c r="B17" s="274"/>
      <c r="C17" s="274"/>
      <c r="D17" s="327" t="s">
        <v>33</v>
      </c>
      <c r="E17" s="328" t="s">
        <v>28</v>
      </c>
      <c r="F17" s="329" t="s">
        <v>15</v>
      </c>
      <c r="G17" s="322" t="str">
        <f>IF(OR(F17="-",F7=0),"-",IF(F17&lt;=50,"Buruk",IF(F17&lt;=60,"Sedang",IF(F17&lt;=75,"Cukup",IF(F17&lt;=90.99,"Baik","Sangat Baik")))))</f>
        <v>-</v>
      </c>
      <c r="H17" s="317"/>
    </row>
    <row r="18" spans="1:11" ht="24" customHeight="1" x14ac:dyDescent="0.2">
      <c r="A18" s="318"/>
      <c r="B18" s="274"/>
      <c r="C18" s="330"/>
      <c r="D18" s="319" t="s">
        <v>34</v>
      </c>
      <c r="E18" s="320" t="s">
        <v>28</v>
      </c>
      <c r="F18" s="321">
        <f>SUM(F12:F17)</f>
        <v>420.5</v>
      </c>
      <c r="G18" s="331"/>
      <c r="H18" s="318"/>
    </row>
    <row r="19" spans="1:11" ht="24" customHeight="1" x14ac:dyDescent="0.2">
      <c r="A19" s="318"/>
      <c r="B19" s="274"/>
      <c r="C19" s="330"/>
      <c r="D19" s="319" t="s">
        <v>35</v>
      </c>
      <c r="E19" s="320"/>
      <c r="F19" s="332" t="s">
        <v>56</v>
      </c>
      <c r="G19" s="333">
        <f>F18/5</f>
        <v>84.1</v>
      </c>
      <c r="H19" s="318"/>
    </row>
    <row r="20" spans="1:11" ht="24" customHeight="1" x14ac:dyDescent="0.2">
      <c r="A20" s="347"/>
      <c r="B20" s="288"/>
      <c r="C20" s="357"/>
      <c r="D20" s="358"/>
      <c r="E20" s="359"/>
      <c r="F20" s="360"/>
      <c r="G20" s="361"/>
      <c r="H20" s="347"/>
      <c r="I20" s="278"/>
      <c r="J20" s="278"/>
      <c r="K20" s="278"/>
    </row>
    <row r="21" spans="1:11" ht="24" customHeight="1" x14ac:dyDescent="0.2">
      <c r="A21" s="347"/>
      <c r="B21" s="288"/>
      <c r="C21" s="357"/>
      <c r="D21" s="358"/>
      <c r="E21" s="359"/>
      <c r="F21" s="360"/>
      <c r="G21" s="361"/>
      <c r="H21" s="347"/>
      <c r="I21" s="278"/>
      <c r="J21" s="278"/>
      <c r="K21" s="278"/>
    </row>
    <row r="22" spans="1:11" ht="24" customHeight="1" x14ac:dyDescent="0.2">
      <c r="A22" s="347"/>
      <c r="B22" s="288"/>
      <c r="C22" s="357"/>
      <c r="D22" s="358"/>
      <c r="E22" s="359"/>
      <c r="F22" s="360"/>
      <c r="G22" s="361"/>
      <c r="H22" s="347"/>
      <c r="I22" s="278"/>
      <c r="J22" s="278"/>
      <c r="K22" s="278"/>
    </row>
    <row r="23" spans="1:11" ht="24" customHeight="1" x14ac:dyDescent="0.2">
      <c r="A23" s="347"/>
      <c r="B23" s="288"/>
      <c r="C23" s="357"/>
      <c r="D23" s="358"/>
      <c r="E23" s="359"/>
      <c r="F23" s="360"/>
      <c r="G23" s="361"/>
      <c r="H23" s="347"/>
      <c r="I23" s="278"/>
      <c r="J23" s="278"/>
      <c r="K23" s="278"/>
    </row>
    <row r="24" spans="1:11" ht="24" customHeight="1" x14ac:dyDescent="0.2">
      <c r="A24" s="347"/>
      <c r="B24" s="288"/>
      <c r="C24" s="357"/>
      <c r="D24" s="358"/>
      <c r="E24" s="359"/>
      <c r="F24" s="360"/>
      <c r="G24" s="361"/>
      <c r="H24" s="347"/>
      <c r="I24" s="278"/>
      <c r="J24" s="278"/>
      <c r="K24" s="278"/>
    </row>
    <row r="25" spans="1:11" ht="20.100000000000001" customHeight="1" x14ac:dyDescent="0.2">
      <c r="A25" s="362"/>
      <c r="B25" s="363"/>
      <c r="C25" s="364"/>
      <c r="D25" s="365"/>
      <c r="E25" s="363"/>
      <c r="F25" s="363"/>
      <c r="G25" s="364"/>
      <c r="H25" s="362"/>
      <c r="I25" s="278"/>
      <c r="J25" s="278"/>
      <c r="K25" s="278"/>
    </row>
    <row r="26" spans="1:11" ht="14.25" x14ac:dyDescent="0.2">
      <c r="A26" s="366"/>
      <c r="B26" s="366"/>
      <c r="C26" s="366"/>
      <c r="D26" s="366"/>
      <c r="E26" s="366"/>
      <c r="F26" s="366"/>
      <c r="G26" s="366"/>
      <c r="H26" s="366"/>
      <c r="I26" s="278"/>
      <c r="J26" s="278"/>
      <c r="K26" s="278"/>
    </row>
    <row r="27" spans="1:11" ht="14.25" x14ac:dyDescent="0.2">
      <c r="A27" s="334"/>
      <c r="B27" s="334"/>
      <c r="C27" s="334"/>
      <c r="D27" s="334"/>
      <c r="E27" s="334"/>
      <c r="F27" s="334"/>
      <c r="G27" s="334"/>
      <c r="H27" s="334"/>
    </row>
    <row r="28" spans="1:11" ht="14.25" x14ac:dyDescent="0.2">
      <c r="A28" s="334"/>
      <c r="B28" s="334"/>
      <c r="C28" s="334"/>
      <c r="D28" s="334"/>
      <c r="E28" s="334"/>
      <c r="F28" s="334"/>
      <c r="G28" s="334"/>
      <c r="H28" s="334"/>
    </row>
    <row r="29" spans="1:11" ht="14.25" x14ac:dyDescent="0.2">
      <c r="A29" s="334"/>
      <c r="B29" s="334"/>
      <c r="C29" s="334"/>
      <c r="D29" s="334"/>
      <c r="E29" s="334"/>
      <c r="F29" s="334"/>
      <c r="G29" s="334"/>
      <c r="H29" s="334"/>
    </row>
    <row r="30" spans="1:11" ht="14.25" x14ac:dyDescent="0.2">
      <c r="A30" s="334"/>
      <c r="B30" s="334"/>
      <c r="C30" s="334"/>
      <c r="D30" s="334"/>
      <c r="E30" s="334"/>
      <c r="F30" s="334"/>
      <c r="G30" s="334"/>
      <c r="H30" s="334"/>
    </row>
    <row r="31" spans="1:11" ht="14.25" x14ac:dyDescent="0.2">
      <c r="A31" s="334"/>
      <c r="B31" s="334"/>
      <c r="C31" s="334"/>
      <c r="D31" s="334"/>
      <c r="E31" s="334"/>
      <c r="F31" s="334"/>
      <c r="G31" s="334"/>
      <c r="H31" s="334"/>
    </row>
    <row r="32" spans="1:11" ht="14.25" x14ac:dyDescent="0.2">
      <c r="A32" s="334"/>
      <c r="B32" s="334"/>
      <c r="C32" s="334"/>
      <c r="D32" s="334"/>
      <c r="E32" s="334"/>
      <c r="F32" s="334"/>
      <c r="G32" s="334"/>
      <c r="H32" s="334"/>
    </row>
    <row r="33" spans="1:8" ht="14.25" x14ac:dyDescent="0.2">
      <c r="A33" s="334"/>
      <c r="B33" s="334"/>
      <c r="C33" s="334"/>
      <c r="D33" s="334"/>
      <c r="E33" s="334"/>
      <c r="F33" s="334"/>
      <c r="G33" s="334"/>
      <c r="H33" s="334"/>
    </row>
    <row r="34" spans="1:8" ht="14.25" x14ac:dyDescent="0.2">
      <c r="A34" s="334"/>
      <c r="B34" s="334"/>
      <c r="C34" s="334"/>
      <c r="D34" s="334"/>
      <c r="E34" s="334"/>
      <c r="F34" s="334"/>
      <c r="G34" s="334"/>
      <c r="H34" s="334"/>
    </row>
    <row r="35" spans="1:8" ht="14.25" x14ac:dyDescent="0.2">
      <c r="A35" s="334"/>
      <c r="B35" s="334"/>
      <c r="C35" s="334"/>
      <c r="D35" s="334"/>
      <c r="E35" s="334"/>
      <c r="F35" s="334"/>
      <c r="G35" s="334"/>
      <c r="H35" s="334"/>
    </row>
    <row r="36" spans="1:8" ht="14.25" x14ac:dyDescent="0.2">
      <c r="A36" s="334"/>
      <c r="B36" s="334"/>
      <c r="C36" s="334"/>
      <c r="D36" s="334"/>
      <c r="E36" s="334"/>
      <c r="F36" s="334"/>
      <c r="G36" s="334"/>
      <c r="H36" s="334"/>
    </row>
    <row r="37" spans="1:8" ht="14.25" x14ac:dyDescent="0.2">
      <c r="A37" s="334"/>
      <c r="B37" s="334"/>
      <c r="C37" s="334"/>
      <c r="D37" s="334"/>
      <c r="E37" s="334"/>
      <c r="F37" s="334"/>
      <c r="G37" s="334"/>
      <c r="H37" s="334"/>
    </row>
    <row r="38" spans="1:8" ht="14.25" x14ac:dyDescent="0.2">
      <c r="A38" s="334"/>
      <c r="B38" s="334"/>
      <c r="C38" s="334"/>
      <c r="D38" s="334"/>
      <c r="E38" s="334"/>
      <c r="F38" s="334"/>
      <c r="G38" s="334"/>
      <c r="H38" s="334"/>
    </row>
    <row r="39" spans="1:8" ht="14.25" x14ac:dyDescent="0.2">
      <c r="A39" s="334"/>
      <c r="B39" s="334"/>
      <c r="C39" s="334"/>
      <c r="D39" s="334"/>
      <c r="E39" s="334"/>
      <c r="F39" s="334"/>
      <c r="G39" s="334"/>
      <c r="H39" s="334"/>
    </row>
    <row r="40" spans="1:8" ht="14.25" x14ac:dyDescent="0.2">
      <c r="A40" s="334"/>
      <c r="B40" s="334"/>
      <c r="C40" s="334"/>
      <c r="D40" s="334"/>
      <c r="E40" s="334"/>
      <c r="F40" s="334"/>
      <c r="G40" s="334"/>
      <c r="H40" s="334"/>
    </row>
    <row r="41" spans="1:8" ht="14.25" x14ac:dyDescent="0.2">
      <c r="A41" s="334"/>
      <c r="B41" s="334"/>
      <c r="C41" s="334"/>
      <c r="D41" s="334"/>
      <c r="E41" s="334"/>
      <c r="F41" s="334"/>
      <c r="G41" s="334"/>
      <c r="H41" s="334"/>
    </row>
    <row r="42" spans="1:8" ht="14.25" x14ac:dyDescent="0.2">
      <c r="A42" s="334"/>
      <c r="B42" s="334"/>
      <c r="C42" s="334"/>
      <c r="D42" s="334"/>
      <c r="E42" s="334"/>
      <c r="F42" s="334"/>
      <c r="G42" s="334"/>
      <c r="H42" s="334"/>
    </row>
    <row r="43" spans="1:8" ht="14.25" x14ac:dyDescent="0.2">
      <c r="A43" s="334"/>
      <c r="B43" s="334"/>
      <c r="C43" s="334"/>
      <c r="D43" s="334"/>
      <c r="E43" s="334"/>
      <c r="F43" s="334"/>
      <c r="G43" s="334"/>
      <c r="H43" s="334"/>
    </row>
    <row r="44" spans="1:8" ht="14.25" x14ac:dyDescent="0.2">
      <c r="A44" s="334"/>
      <c r="B44" s="334"/>
      <c r="C44" s="334"/>
      <c r="D44" s="334"/>
      <c r="E44" s="334"/>
      <c r="F44" s="334"/>
      <c r="G44" s="334"/>
      <c r="H44" s="334"/>
    </row>
    <row r="45" spans="1:8" ht="14.25" x14ac:dyDescent="0.2">
      <c r="A45" s="334"/>
      <c r="B45" s="334"/>
      <c r="C45" s="334"/>
      <c r="D45" s="334"/>
      <c r="E45" s="334"/>
      <c r="F45" s="334"/>
      <c r="G45" s="334"/>
      <c r="H45" s="334"/>
    </row>
    <row r="46" spans="1:8" ht="14.25" x14ac:dyDescent="0.2">
      <c r="A46" s="334"/>
      <c r="B46" s="334"/>
      <c r="C46" s="334"/>
      <c r="D46" s="334"/>
      <c r="E46" s="334"/>
      <c r="F46" s="334"/>
      <c r="G46" s="334"/>
      <c r="H46" s="334"/>
    </row>
    <row r="47" spans="1:8" ht="14.25" x14ac:dyDescent="0.2">
      <c r="A47" s="334"/>
      <c r="B47" s="334"/>
      <c r="C47" s="334"/>
      <c r="D47" s="334"/>
      <c r="E47" s="334"/>
      <c r="F47" s="334"/>
      <c r="G47" s="334"/>
      <c r="H47" s="334"/>
    </row>
    <row r="48" spans="1:8" ht="14.25" x14ac:dyDescent="0.2">
      <c r="A48" s="334"/>
      <c r="B48" s="334"/>
      <c r="C48" s="334"/>
      <c r="D48" s="334"/>
      <c r="E48" s="334"/>
      <c r="F48" s="334"/>
      <c r="G48" s="334"/>
      <c r="H48" s="334"/>
    </row>
  </sheetData>
  <sheetProtection algorithmName="SHA-512" hashValue="LCRGeLZYySiCO5yssB5MFyG5rEG2md6ss7N97Uzjr+L8/zJS0ZZT5MMeaCwqwIdmRXsIJM+/7bl0ihMA3COmeA==" saltValue="MtG3VOjk6QL2h2LvOrzRpw==" spinCount="100000" sheet="1" formatCells="0" formatColumns="0" formatRows="0"/>
  <mergeCells count="7">
    <mergeCell ref="D11:F11"/>
    <mergeCell ref="A1:H1"/>
    <mergeCell ref="B6:C6"/>
    <mergeCell ref="D6:G6"/>
    <mergeCell ref="B7:C7"/>
    <mergeCell ref="D7:G7"/>
    <mergeCell ref="D9:E9"/>
  </mergeCells>
  <pageMargins left="0.56000000000000005" right="0.39370078740157483" top="0.74803149606299213" bottom="0.74803149606299213" header="0.31496062992125984" footer="0.31496062992125984"/>
  <pageSetup paperSize="9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X29"/>
  <sheetViews>
    <sheetView topLeftCell="A7" workbookViewId="0">
      <selection sqref="A1:O1"/>
    </sheetView>
  </sheetViews>
  <sheetFormatPr defaultColWidth="0" defaultRowHeight="15" customHeight="1" zeroHeight="1" x14ac:dyDescent="0.2"/>
  <cols>
    <col min="1" max="1" width="5.28515625" style="659" customWidth="1"/>
    <col min="2" max="2" width="14.42578125" style="660" customWidth="1"/>
    <col min="3" max="3" width="2.42578125" style="660" customWidth="1"/>
    <col min="4" max="4" width="24.42578125" style="660" customWidth="1"/>
    <col min="5" max="5" width="2" style="660" customWidth="1"/>
    <col min="6" max="6" width="2.28515625" style="660" customWidth="1"/>
    <col min="7" max="7" width="2.85546875" style="660" customWidth="1"/>
    <col min="8" max="8" width="20.140625" style="660" customWidth="1"/>
    <col min="9" max="9" width="2.42578125" style="660" customWidth="1"/>
    <col min="10" max="13" width="6.42578125" style="660" customWidth="1"/>
    <col min="14" max="14" width="3.5703125" style="660" customWidth="1"/>
    <col min="15" max="15" width="3.7109375" style="660" hidden="1" customWidth="1"/>
    <col min="16" max="18" width="8.7109375" style="658" customWidth="1"/>
    <col min="19" max="24" width="8.7109375" style="658" hidden="1" customWidth="1"/>
    <col min="25" max="16384" width="14.42578125" style="658" hidden="1"/>
  </cols>
  <sheetData>
    <row r="1" spans="1:15" ht="15" customHeight="1" x14ac:dyDescent="0.2">
      <c r="A1" s="1062" t="s">
        <v>625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  <c r="L1" s="1062"/>
      <c r="M1" s="1062"/>
      <c r="N1" s="1062"/>
      <c r="O1" s="1062"/>
    </row>
    <row r="2" spans="1:15" ht="15" customHeight="1" x14ac:dyDescent="0.2">
      <c r="A2" s="1062" t="str">
        <f>"JABATAN "&amp;UPPER('DATA SKP'!F8)</f>
        <v>JABATAN GURU</v>
      </c>
      <c r="B2" s="1062"/>
      <c r="C2" s="1062"/>
      <c r="D2" s="1062"/>
      <c r="E2" s="1062"/>
      <c r="F2" s="1062"/>
      <c r="G2" s="1062"/>
      <c r="H2" s="1062"/>
      <c r="I2" s="1062"/>
      <c r="J2" s="1062"/>
      <c r="K2" s="1062"/>
      <c r="L2" s="1062"/>
      <c r="M2" s="1062"/>
      <c r="N2" s="1062"/>
      <c r="O2" s="1062"/>
    </row>
    <row r="3" spans="1:15" ht="15" customHeight="1" x14ac:dyDescent="0.2">
      <c r="A3" s="663"/>
      <c r="B3" s="663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5" ht="15" customHeight="1" x14ac:dyDescent="0.2">
      <c r="A4" s="663"/>
      <c r="B4" s="663"/>
      <c r="C4" s="540"/>
      <c r="D4" s="540"/>
      <c r="E4" s="540"/>
      <c r="F4" s="540"/>
      <c r="G4" s="540"/>
      <c r="H4" s="540"/>
      <c r="I4" s="540"/>
      <c r="J4" s="540" t="s">
        <v>419</v>
      </c>
      <c r="K4" s="540"/>
      <c r="L4" s="540"/>
      <c r="M4" s="540"/>
      <c r="N4" s="540"/>
      <c r="O4" s="540"/>
    </row>
    <row r="5" spans="1:15" ht="15" customHeight="1" x14ac:dyDescent="0.2">
      <c r="A5" s="540" t="s">
        <v>420</v>
      </c>
      <c r="B5" s="540"/>
      <c r="C5" s="540" t="s">
        <v>16</v>
      </c>
      <c r="D5" s="1063" t="str">
        <f>'DATA SKP'!E9</f>
        <v>MTs Negeri 5 Sleman</v>
      </c>
      <c r="E5" s="1063"/>
      <c r="F5" s="1063"/>
      <c r="G5" s="1063"/>
      <c r="H5" s="540"/>
      <c r="I5" s="540"/>
      <c r="J5" s="540" t="str">
        <f>PERIODE!E6</f>
        <v>01 Januari s.d. 30 Juni 2021</v>
      </c>
      <c r="K5" s="540"/>
      <c r="L5" s="540"/>
      <c r="M5" s="540"/>
      <c r="N5" s="540"/>
      <c r="O5" s="540"/>
    </row>
    <row r="6" spans="1:15" ht="15" customHeight="1" x14ac:dyDescent="0.2">
      <c r="A6" s="663"/>
      <c r="B6" s="540"/>
      <c r="C6" s="540"/>
      <c r="D6" s="664"/>
      <c r="E6" s="664"/>
      <c r="F6" s="664"/>
      <c r="G6" s="664"/>
      <c r="H6" s="540"/>
      <c r="I6" s="540"/>
      <c r="J6" s="665"/>
      <c r="K6" s="540"/>
      <c r="L6" s="540"/>
      <c r="M6" s="540"/>
      <c r="N6" s="540"/>
      <c r="O6" s="540"/>
    </row>
    <row r="7" spans="1:15" ht="15" customHeight="1" x14ac:dyDescent="0.2">
      <c r="A7" s="1064" t="s">
        <v>45</v>
      </c>
      <c r="B7" s="1065"/>
      <c r="C7" s="1065"/>
      <c r="D7" s="1065"/>
      <c r="E7" s="1065"/>
      <c r="F7" s="1065"/>
      <c r="G7" s="1066"/>
      <c r="H7" s="1064" t="s">
        <v>529</v>
      </c>
      <c r="I7" s="1065"/>
      <c r="J7" s="1065"/>
      <c r="K7" s="1065"/>
      <c r="L7" s="1065"/>
      <c r="M7" s="1065"/>
      <c r="N7" s="1065"/>
      <c r="O7" s="1066"/>
    </row>
    <row r="8" spans="1:15" ht="15" customHeight="1" x14ac:dyDescent="0.2">
      <c r="A8" s="1067" t="s">
        <v>2</v>
      </c>
      <c r="B8" s="1068"/>
      <c r="C8" s="666" t="s">
        <v>16</v>
      </c>
      <c r="D8" s="667" t="str">
        <f>'DATA SKP2'!F12</f>
        <v>Drs. Busyroni Majid, M.Si</v>
      </c>
      <c r="E8" s="668"/>
      <c r="F8" s="668"/>
      <c r="G8" s="669"/>
      <c r="H8" s="670" t="s">
        <v>2</v>
      </c>
      <c r="I8" s="666" t="s">
        <v>16</v>
      </c>
      <c r="J8" s="671" t="str">
        <f>'DATA SKP'!E5</f>
        <v>Sirajudin, S.Pd.</v>
      </c>
      <c r="K8" s="672"/>
      <c r="L8" s="672"/>
      <c r="M8" s="672"/>
      <c r="N8" s="672"/>
      <c r="O8" s="673"/>
    </row>
    <row r="9" spans="1:15" ht="15" customHeight="1" x14ac:dyDescent="0.2">
      <c r="A9" s="1067" t="s">
        <v>3</v>
      </c>
      <c r="B9" s="1068"/>
      <c r="C9" s="666" t="s">
        <v>16</v>
      </c>
      <c r="D9" s="667" t="str">
        <f>'DATA SKP2'!F13</f>
        <v>19690921 199503 1 001</v>
      </c>
      <c r="E9" s="668"/>
      <c r="F9" s="668"/>
      <c r="G9" s="669"/>
      <c r="H9" s="670" t="s">
        <v>3</v>
      </c>
      <c r="I9" s="666" t="s">
        <v>16</v>
      </c>
      <c r="J9" s="671" t="str">
        <f>'DATA SKP'!E6</f>
        <v>19730115 200710 1 001</v>
      </c>
      <c r="K9" s="672"/>
      <c r="L9" s="672"/>
      <c r="M9" s="672"/>
      <c r="N9" s="672"/>
      <c r="O9" s="673"/>
    </row>
    <row r="10" spans="1:15" ht="15" customHeight="1" x14ac:dyDescent="0.2">
      <c r="A10" s="1067" t="s">
        <v>106</v>
      </c>
      <c r="B10" s="1068"/>
      <c r="C10" s="666" t="s">
        <v>16</v>
      </c>
      <c r="D10" s="667" t="str">
        <f>'DATA SKP2'!F14</f>
        <v>Pembina, Gol. IV/a</v>
      </c>
      <c r="E10" s="668"/>
      <c r="F10" s="668"/>
      <c r="G10" s="669"/>
      <c r="H10" s="670" t="s">
        <v>106</v>
      </c>
      <c r="I10" s="666" t="s">
        <v>16</v>
      </c>
      <c r="J10" s="671" t="str">
        <f>'DATA SKP'!E7</f>
        <v>Penata Muda, Gol. III/a</v>
      </c>
      <c r="K10" s="672"/>
      <c r="L10" s="672"/>
      <c r="M10" s="672"/>
      <c r="N10" s="672"/>
      <c r="O10" s="673"/>
    </row>
    <row r="11" spans="1:15" ht="15" customHeight="1" x14ac:dyDescent="0.2">
      <c r="A11" s="1067" t="s">
        <v>4</v>
      </c>
      <c r="B11" s="1068"/>
      <c r="C11" s="666" t="s">
        <v>16</v>
      </c>
      <c r="D11" s="667" t="str">
        <f>'DATA SKP2'!G15</f>
        <v>Kepala Madrasah</v>
      </c>
      <c r="E11" s="668"/>
      <c r="F11" s="668"/>
      <c r="G11" s="669"/>
      <c r="H11" s="670" t="s">
        <v>4</v>
      </c>
      <c r="I11" s="666" t="s">
        <v>16</v>
      </c>
      <c r="J11" s="671" t="str">
        <f>'DATA SKP'!E8</f>
        <v>Guru Pertama</v>
      </c>
      <c r="K11" s="672"/>
      <c r="L11" s="672"/>
      <c r="M11" s="672"/>
      <c r="N11" s="672"/>
      <c r="O11" s="673"/>
    </row>
    <row r="12" spans="1:15" ht="15" customHeight="1" x14ac:dyDescent="0.2">
      <c r="A12" s="1069" t="s">
        <v>5</v>
      </c>
      <c r="B12" s="1070"/>
      <c r="C12" s="674" t="s">
        <v>16</v>
      </c>
      <c r="D12" s="667" t="str">
        <f>'DATA SKP2'!F16</f>
        <v>MTs Negeri 5 Sleman</v>
      </c>
      <c r="E12" s="675"/>
      <c r="F12" s="675"/>
      <c r="G12" s="674"/>
      <c r="H12" s="676" t="s">
        <v>5</v>
      </c>
      <c r="I12" s="674" t="s">
        <v>16</v>
      </c>
      <c r="J12" s="671" t="str">
        <f>'DATA SKP'!E9</f>
        <v>MTs Negeri 5 Sleman</v>
      </c>
      <c r="K12" s="677"/>
      <c r="L12" s="677"/>
      <c r="M12" s="677"/>
      <c r="N12" s="677"/>
      <c r="O12" s="678"/>
    </row>
    <row r="13" spans="1:15" ht="15" customHeight="1" x14ac:dyDescent="0.2">
      <c r="A13" s="1071" t="s">
        <v>65</v>
      </c>
      <c r="B13" s="1072"/>
      <c r="C13" s="894" t="s">
        <v>16</v>
      </c>
      <c r="D13" s="1061" t="str">
        <f>PERIODE!E7</f>
        <v>14 Juli 2021</v>
      </c>
      <c r="E13" s="1061"/>
      <c r="F13" s="1061"/>
      <c r="G13" s="1061"/>
      <c r="H13" s="1061"/>
      <c r="I13" s="1061"/>
      <c r="J13" s="1061"/>
      <c r="K13" s="1061"/>
      <c r="L13" s="1061"/>
      <c r="M13" s="1061"/>
      <c r="N13" s="1061"/>
      <c r="O13" s="1061"/>
    </row>
    <row r="14" spans="1:15" s="661" customFormat="1" ht="24" customHeight="1" x14ac:dyDescent="0.2">
      <c r="A14" s="1077" t="s">
        <v>49</v>
      </c>
      <c r="B14" s="1078"/>
      <c r="C14" s="1078"/>
      <c r="D14" s="1078"/>
      <c r="E14" s="1078"/>
      <c r="F14" s="1078"/>
      <c r="G14" s="1079"/>
      <c r="H14" s="1080" t="s">
        <v>66</v>
      </c>
      <c r="I14" s="1080"/>
      <c r="J14" s="1080"/>
      <c r="K14" s="1080"/>
      <c r="L14" s="1080"/>
      <c r="M14" s="1080"/>
      <c r="N14" s="1080"/>
      <c r="O14" s="1080"/>
    </row>
    <row r="15" spans="1:15" ht="30" customHeight="1" x14ac:dyDescent="0.2">
      <c r="A15" s="1081" t="s">
        <v>531</v>
      </c>
      <c r="B15" s="1082"/>
      <c r="C15" s="1082"/>
      <c r="D15" s="1082"/>
      <c r="E15" s="1082"/>
      <c r="F15" s="1082"/>
      <c r="G15" s="1083"/>
      <c r="H15" s="1084">
        <f>PERILAKU!G9</f>
        <v>85.333333333333329</v>
      </c>
      <c r="I15" s="1084"/>
      <c r="J15" s="1084"/>
      <c r="K15" s="1084"/>
      <c r="L15" s="1084"/>
      <c r="M15" s="1084"/>
      <c r="N15" s="1084"/>
      <c r="O15" s="1084"/>
    </row>
    <row r="16" spans="1:15" ht="30" customHeight="1" x14ac:dyDescent="0.2">
      <c r="A16" s="1081" t="s">
        <v>532</v>
      </c>
      <c r="B16" s="1082"/>
      <c r="C16" s="1082"/>
      <c r="D16" s="1082"/>
      <c r="E16" s="1082"/>
      <c r="F16" s="1082"/>
      <c r="G16" s="1083"/>
      <c r="H16" s="1084">
        <f>PERILAKU!G19</f>
        <v>84.1</v>
      </c>
      <c r="I16" s="1085"/>
      <c r="J16" s="1085"/>
      <c r="K16" s="1085"/>
      <c r="L16" s="1085"/>
      <c r="M16" s="1085"/>
      <c r="N16" s="1085"/>
      <c r="O16" s="1085"/>
    </row>
    <row r="17" spans="1:15" ht="30" customHeight="1" x14ac:dyDescent="0.2">
      <c r="A17" s="1073" t="s">
        <v>533</v>
      </c>
      <c r="B17" s="1074"/>
      <c r="C17" s="1074"/>
      <c r="D17" s="1074"/>
      <c r="E17" s="1074"/>
      <c r="F17" s="1074"/>
      <c r="G17" s="1075"/>
      <c r="H17" s="1076">
        <f>(60%*H15)+(40%*H16)</f>
        <v>84.84</v>
      </c>
      <c r="I17" s="1076"/>
      <c r="J17" s="1076"/>
      <c r="K17" s="1076"/>
      <c r="L17" s="1076"/>
      <c r="M17" s="1076"/>
      <c r="N17" s="1076"/>
      <c r="O17" s="1076"/>
    </row>
    <row r="18" spans="1:15" ht="15.75" customHeight="1" x14ac:dyDescent="0.2">
      <c r="A18" s="663"/>
      <c r="B18" s="540"/>
      <c r="C18" s="540"/>
      <c r="D18" s="540"/>
      <c r="E18" s="540"/>
      <c r="F18" s="540"/>
      <c r="G18" s="540"/>
      <c r="H18" s="540"/>
      <c r="I18" s="540"/>
      <c r="J18" s="540"/>
      <c r="K18" s="540"/>
      <c r="L18" s="540"/>
      <c r="M18" s="540"/>
      <c r="N18" s="540"/>
      <c r="O18" s="540"/>
    </row>
    <row r="19" spans="1:15" ht="15.75" customHeight="1" x14ac:dyDescent="0.2">
      <c r="A19" s="663"/>
      <c r="B19" s="540"/>
      <c r="C19" s="540"/>
      <c r="D19" s="540"/>
      <c r="E19" s="540"/>
      <c r="F19" s="540"/>
      <c r="G19" s="540"/>
      <c r="H19" s="540"/>
      <c r="I19" s="540"/>
      <c r="J19" s="540"/>
      <c r="K19" s="540"/>
      <c r="L19" s="540"/>
      <c r="M19" s="540"/>
      <c r="N19" s="540"/>
      <c r="O19" s="540"/>
    </row>
    <row r="20" spans="1:15" ht="15.75" customHeight="1" x14ac:dyDescent="0.2">
      <c r="A20" s="663"/>
      <c r="B20" s="540"/>
      <c r="C20" s="540"/>
      <c r="D20" s="540"/>
      <c r="E20" s="540"/>
      <c r="F20" s="540"/>
      <c r="G20" s="540"/>
      <c r="H20" s="540"/>
      <c r="I20" s="540"/>
      <c r="J20" s="540" t="str">
        <f>"Sleman, "&amp;PERIODE!E7</f>
        <v>Sleman, 14 Juli 2021</v>
      </c>
      <c r="K20" s="540"/>
      <c r="L20" s="540"/>
      <c r="M20" s="540"/>
      <c r="N20" s="540"/>
      <c r="O20" s="540"/>
    </row>
    <row r="21" spans="1:15" s="660" customFormat="1" ht="15.75" customHeight="1" x14ac:dyDescent="0.2">
      <c r="A21" s="663"/>
      <c r="B21" s="540" t="s">
        <v>13</v>
      </c>
      <c r="C21" s="540"/>
      <c r="D21" s="540"/>
      <c r="E21" s="540"/>
      <c r="F21" s="540"/>
      <c r="G21" s="540"/>
      <c r="H21" s="540"/>
      <c r="I21" s="540"/>
      <c r="J21" s="540" t="s">
        <v>137</v>
      </c>
      <c r="K21" s="540"/>
      <c r="L21" s="540"/>
      <c r="M21" s="540"/>
      <c r="N21" s="540"/>
      <c r="O21" s="540"/>
    </row>
    <row r="22" spans="1:15" s="660" customFormat="1" ht="15.75" customHeight="1" x14ac:dyDescent="0.2">
      <c r="A22" s="663"/>
      <c r="B22" s="540"/>
      <c r="C22" s="540"/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</row>
    <row r="23" spans="1:15" s="660" customFormat="1" ht="15.75" customHeight="1" x14ac:dyDescent="0.2">
      <c r="A23" s="663"/>
      <c r="B23" s="540"/>
      <c r="C23" s="540"/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</row>
    <row r="24" spans="1:15" s="660" customFormat="1" ht="15.75" customHeight="1" x14ac:dyDescent="0.2">
      <c r="A24" s="663"/>
      <c r="B24" s="540"/>
      <c r="C24" s="540"/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</row>
    <row r="25" spans="1:15" s="660" customFormat="1" ht="15.75" customHeight="1" x14ac:dyDescent="0.2">
      <c r="A25" s="663"/>
      <c r="B25" s="540"/>
      <c r="C25" s="540"/>
      <c r="D25" s="540"/>
      <c r="E25" s="540"/>
      <c r="F25" s="540"/>
      <c r="G25" s="540"/>
      <c r="H25" s="540"/>
      <c r="I25" s="540"/>
      <c r="J25" s="540"/>
      <c r="K25" s="540"/>
      <c r="L25" s="540"/>
      <c r="M25" s="540"/>
      <c r="N25" s="540"/>
      <c r="O25" s="540"/>
    </row>
    <row r="26" spans="1:15" s="660" customFormat="1" ht="15.75" customHeight="1" x14ac:dyDescent="0.2">
      <c r="A26" s="663"/>
      <c r="B26" s="540" t="str">
        <f>D8</f>
        <v>Drs. Busyroni Majid, M.Si</v>
      </c>
      <c r="C26" s="540"/>
      <c r="D26" s="540"/>
      <c r="E26" s="540"/>
      <c r="F26" s="540"/>
      <c r="G26" s="540"/>
      <c r="H26" s="540"/>
      <c r="I26" s="540"/>
      <c r="J26" s="540" t="str">
        <f>J8</f>
        <v>Sirajudin, S.Pd.</v>
      </c>
      <c r="K26" s="540"/>
      <c r="L26" s="540"/>
      <c r="M26" s="540"/>
      <c r="N26" s="540"/>
      <c r="O26" s="540"/>
    </row>
    <row r="27" spans="1:15" s="660" customFormat="1" ht="15.75" customHeight="1" x14ac:dyDescent="0.2">
      <c r="A27" s="663"/>
      <c r="B27" s="540" t="str">
        <f>"NIP. "&amp;D9</f>
        <v>NIP. 19690921 199503 1 001</v>
      </c>
      <c r="C27" s="540"/>
      <c r="D27" s="540"/>
      <c r="E27" s="540"/>
      <c r="F27" s="540"/>
      <c r="G27" s="540"/>
      <c r="H27" s="540"/>
      <c r="I27" s="540"/>
      <c r="J27" s="540" t="str">
        <f>"NIP. "&amp;J9</f>
        <v>NIP. 19730115 200710 1 001</v>
      </c>
      <c r="K27" s="540"/>
      <c r="L27" s="540"/>
      <c r="M27" s="540"/>
      <c r="N27" s="540"/>
      <c r="O27" s="540"/>
    </row>
    <row r="28" spans="1:15" s="659" customFormat="1" ht="15.75" customHeight="1" x14ac:dyDescent="0.2">
      <c r="A28" s="663"/>
      <c r="B28" s="540"/>
      <c r="C28" s="540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</row>
    <row r="29" spans="1:15" ht="15" customHeight="1" x14ac:dyDescent="0.2"/>
  </sheetData>
  <sheetProtection algorithmName="SHA-512" hashValue="IomKgj4lk5yKGUkpoqeKwOCKkYC4IqQ0P2BYb7ao+DvdhNdgSWinuPglbc9eU0Q7kuCd4G3StuIaUilcMY2G3g==" saltValue="ovFendtG9ThGwbQFDB80VA==" spinCount="100000" sheet="1" objects="1" scenarios="1" formatCells="0" formatColumns="0" formatRows="0"/>
  <mergeCells count="20">
    <mergeCell ref="A17:G17"/>
    <mergeCell ref="H17:O17"/>
    <mergeCell ref="A14:G14"/>
    <mergeCell ref="H14:O14"/>
    <mergeCell ref="A15:G15"/>
    <mergeCell ref="H15:O15"/>
    <mergeCell ref="A16:G16"/>
    <mergeCell ref="H16:O16"/>
    <mergeCell ref="D13:O13"/>
    <mergeCell ref="A1:O1"/>
    <mergeCell ref="A2:O2"/>
    <mergeCell ref="D5:G5"/>
    <mergeCell ref="A7:G7"/>
    <mergeCell ref="H7:O7"/>
    <mergeCell ref="A8:B8"/>
    <mergeCell ref="A9:B9"/>
    <mergeCell ref="A10:B10"/>
    <mergeCell ref="A11:B11"/>
    <mergeCell ref="A12:B12"/>
    <mergeCell ref="A13:B13"/>
  </mergeCells>
  <pageMargins left="0.70866141732283505" right="0.511811023622047" top="0.74803149606299202" bottom="0.511811023622047" header="0" footer="0"/>
  <pageSetup paperSize="9" scale="8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39</vt:i4>
      </vt:variant>
    </vt:vector>
  </HeadingPairs>
  <TitlesOfParts>
    <vt:vector size="70" baseType="lpstr">
      <vt:lpstr>AUTHOR</vt:lpstr>
      <vt:lpstr>MENU</vt:lpstr>
      <vt:lpstr>PERIODE</vt:lpstr>
      <vt:lpstr>COVER</vt:lpstr>
      <vt:lpstr>DATA SKP</vt:lpstr>
      <vt:lpstr>FORM SKP</vt:lpstr>
      <vt:lpstr>PENGUKURAN SKP</vt:lpstr>
      <vt:lpstr>PERILAKU</vt:lpstr>
      <vt:lpstr>Penilaian Prestasi</vt:lpstr>
      <vt:lpstr>Konversi Nilai</vt:lpstr>
      <vt:lpstr> SKP ATASAN OFF</vt:lpstr>
      <vt:lpstr>KEGIATAN GURU</vt:lpstr>
      <vt:lpstr>DATA SKP2</vt:lpstr>
      <vt:lpstr>indikator</vt:lpstr>
      <vt:lpstr>SKP ATASAN</vt:lpstr>
      <vt:lpstr>RENCANA SKP</vt:lpstr>
      <vt:lpstr>KETERKAITAN JF</vt:lpstr>
      <vt:lpstr>KETERKAITAN SKP2 JF</vt:lpstr>
      <vt:lpstr>REVIEW RENCANA SKP</vt:lpstr>
      <vt:lpstr>PENETAPAN SKP</vt:lpstr>
      <vt:lpstr>PENILAIAN SKP</vt:lpstr>
      <vt:lpstr>Penilaian Perilaku</vt:lpstr>
      <vt:lpstr>Penilaian Kinerja</vt:lpstr>
      <vt:lpstr>PRESTASI KERJA2</vt:lpstr>
      <vt:lpstr>5. CAPAIAN SKP</vt:lpstr>
      <vt:lpstr>Laporan DPK</vt:lpstr>
      <vt:lpstr>Integrasi Nilai</vt:lpstr>
      <vt:lpstr>INTEGRASI SKP</vt:lpstr>
      <vt:lpstr>DPK 2021</vt:lpstr>
      <vt:lpstr>KEGIATAN GURU2</vt:lpstr>
      <vt:lpstr>Konversi</vt:lpstr>
      <vt:lpstr>ada</vt:lpstr>
      <vt:lpstr>adaide</vt:lpstr>
      <vt:lpstr>'KEGIATAN GURU2'!AK</vt:lpstr>
      <vt:lpstr>AK</vt:lpstr>
      <vt:lpstr>ide</vt:lpstr>
      <vt:lpstr>INDIKATOR</vt:lpstr>
      <vt:lpstr>konversi</vt:lpstr>
      <vt:lpstr>predik</vt:lpstr>
      <vt:lpstr>'5. CAPAIAN SKP'!Print_Area</vt:lpstr>
      <vt:lpstr>COVER!Print_Area</vt:lpstr>
      <vt:lpstr>'DATA SKP'!Print_Area</vt:lpstr>
      <vt:lpstr>'DATA SKP2'!Print_Area</vt:lpstr>
      <vt:lpstr>'FORM SKP'!Print_Area</vt:lpstr>
      <vt:lpstr>'INTEGRASI SKP'!Print_Area</vt:lpstr>
      <vt:lpstr>'KEGIATAN GURU'!Print_Area</vt:lpstr>
      <vt:lpstr>'KEGIATAN GURU2'!Print_Area</vt:lpstr>
      <vt:lpstr>'KETERKAITAN JF'!Print_Area</vt:lpstr>
      <vt:lpstr>'KETERKAITAN SKP2 JF'!Print_Area</vt:lpstr>
      <vt:lpstr>MENU!Print_Area</vt:lpstr>
      <vt:lpstr>'PENILAIAN SKP'!Print_Area</vt:lpstr>
      <vt:lpstr>PERILAKU!Print_Area</vt:lpstr>
      <vt:lpstr>PERIODE!Print_Area</vt:lpstr>
      <vt:lpstr>'PRESTASI KERJA2'!Print_Area</vt:lpstr>
      <vt:lpstr>'RENCANA SKP'!Print_Area</vt:lpstr>
      <vt:lpstr>'5. CAPAIAN SKP'!Print_Titles</vt:lpstr>
      <vt:lpstr>'Integrasi Nilai'!Print_Titles</vt:lpstr>
      <vt:lpstr>'INTEGRASI SKP'!Print_Titles</vt:lpstr>
      <vt:lpstr>'KEGIATAN GURU'!Print_Titles</vt:lpstr>
      <vt:lpstr>'KEGIATAN GURU2'!Print_Titles</vt:lpstr>
      <vt:lpstr>'Konversi Nilai'!Print_Titles</vt:lpstr>
      <vt:lpstr>'PENETAPAN SKP'!Print_Titles</vt:lpstr>
      <vt:lpstr>'Penilaian Kinerja'!Print_Titles</vt:lpstr>
      <vt:lpstr>'Penilaian Perilaku'!Print_Titles</vt:lpstr>
      <vt:lpstr>'Penilaian Prestasi'!Print_Titles</vt:lpstr>
      <vt:lpstr>'PENILAIAN SKP'!Print_Titles</vt:lpstr>
      <vt:lpstr>'PRESTASI KERJA2'!Print_Titles</vt:lpstr>
      <vt:lpstr>'RENCANA SKP'!Print_Titles</vt:lpstr>
      <vt:lpstr>'REVIEW RENCANA SKP'!Print_Titles</vt:lpstr>
      <vt:lpstr>tambah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Warsiyo PW</dc:creator>
  <cp:lastModifiedBy>ACER</cp:lastModifiedBy>
  <cp:lastPrinted>2022-02-04T01:53:34Z</cp:lastPrinted>
  <dcterms:created xsi:type="dcterms:W3CDTF">2010-10-07T03:41:24Z</dcterms:created>
  <dcterms:modified xsi:type="dcterms:W3CDTF">2022-02-04T01:53:58Z</dcterms:modified>
</cp:coreProperties>
</file>